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esktop\REMISIONES\Fondo de Inversion Estados\Fondos TRIMESTRAL\SAFI\"/>
    </mc:Choice>
  </mc:AlternateContent>
  <bookViews>
    <workbookView xWindow="0" yWindow="0" windowWidth="20490" windowHeight="7155" firstSheet="10" activeTab="10"/>
  </bookViews>
  <sheets>
    <sheet name="ESTADO RESULTADOS " sheetId="3" state="hidden" r:id="rId1"/>
    <sheet name="Estado de resultados mayo" sheetId="1" state="hidden" r:id="rId2"/>
    <sheet name="ESTADO RESULTADOS  (2)" sheetId="4" state="hidden" r:id="rId3"/>
    <sheet name="Junio 2016" sheetId="5" state="hidden" r:id="rId4"/>
    <sheet name="Julio 2016" sheetId="6" state="hidden" r:id="rId5"/>
    <sheet name="Agosto " sheetId="7" state="hidden" r:id="rId6"/>
    <sheet name="Agosto 2016" sheetId="8" state="hidden" r:id="rId7"/>
    <sheet name="Septiembre " sheetId="9" state="hidden" r:id="rId8"/>
    <sheet name="Octubre 2016" sheetId="10" state="hidden" r:id="rId9"/>
    <sheet name="Noviembre 2016" sheetId="11" state="hidden" r:id="rId10"/>
    <sheet name="Balance General" sheetId="15" r:id="rId11"/>
    <sheet name="RESULTADOS " sheetId="12" r:id="rId12"/>
  </sheets>
  <externalReferences>
    <externalReference r:id="rId13"/>
    <externalReference r:id="rId14"/>
    <externalReference r:id="rId15"/>
  </externalReferences>
  <definedNames>
    <definedName name="_xlnm._FilterDatabase" localSheetId="0" hidden="1">'ESTADO RESULTADOS '!$A$8:$H$82</definedName>
    <definedName name="_xlnm._FilterDatabase" localSheetId="2" hidden="1">'ESTADO RESULTADOS  (2)'!$A$8:$G$82</definedName>
    <definedName name="_xlnm.Print_Area" localSheetId="10">'Balance General'!$B$1:$F$41</definedName>
  </definedNames>
  <calcPr calcId="152511"/>
</workbook>
</file>

<file path=xl/calcChain.xml><?xml version="1.0" encoding="utf-8"?>
<calcChain xmlns="http://schemas.openxmlformats.org/spreadsheetml/2006/main">
  <c r="H18" i="15" l="1"/>
  <c r="H37" i="15" l="1"/>
  <c r="I37" i="15" s="1"/>
  <c r="D40" i="15"/>
  <c r="D34" i="15"/>
  <c r="D23" i="15"/>
  <c r="D28" i="15" s="1"/>
  <c r="H21" i="15" l="1"/>
  <c r="I21" i="15" s="1"/>
  <c r="H20" i="15"/>
  <c r="I20" i="15" s="1"/>
  <c r="F23" i="15" l="1"/>
  <c r="H32" i="15"/>
  <c r="I32" i="15" s="1"/>
  <c r="H17" i="15"/>
  <c r="I17" i="15" s="1"/>
  <c r="H16" i="15"/>
  <c r="I16" i="15" s="1"/>
  <c r="H26" i="15"/>
  <c r="I26" i="15" s="1"/>
  <c r="H27" i="15"/>
  <c r="I27" i="15" s="1"/>
  <c r="H25" i="15"/>
  <c r="I25" i="15" s="1"/>
  <c r="G20" i="12"/>
  <c r="F28" i="15" l="1"/>
  <c r="H14" i="15"/>
  <c r="I14" i="15" s="1"/>
  <c r="F34" i="15"/>
  <c r="H33" i="15"/>
  <c r="I33" i="15" s="1"/>
  <c r="H13" i="15"/>
  <c r="I13" i="15" l="1"/>
  <c r="H23" i="15"/>
  <c r="H39" i="15"/>
  <c r="I39" i="15" s="1"/>
  <c r="H38" i="15" l="1"/>
  <c r="I38" i="15" s="1"/>
  <c r="F40" i="15"/>
  <c r="F41" i="15" s="1"/>
  <c r="E9" i="12"/>
  <c r="C9" i="12"/>
  <c r="B5" i="12"/>
  <c r="E15" i="12" l="1"/>
  <c r="E21" i="12"/>
  <c r="E24" i="12" l="1"/>
  <c r="B29" i="12" l="1"/>
  <c r="L53" i="15" l="1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J39" i="15"/>
  <c r="L39" i="15" s="1"/>
  <c r="J38" i="15"/>
  <c r="L38" i="15" s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7" i="15"/>
  <c r="L16" i="15"/>
  <c r="L15" i="15"/>
  <c r="L14" i="15"/>
  <c r="L13" i="15"/>
  <c r="H40" i="15" l="1"/>
  <c r="I40" i="15" s="1"/>
  <c r="D41" i="15"/>
  <c r="H28" i="15"/>
  <c r="I28" i="15" s="1"/>
  <c r="I23" i="15"/>
  <c r="H34" i="15"/>
  <c r="I34" i="15" s="1"/>
  <c r="G13" i="12"/>
  <c r="C21" i="12"/>
  <c r="H41" i="15" l="1"/>
  <c r="I41" i="15" s="1"/>
  <c r="C15" i="12"/>
  <c r="C24" i="12" s="1"/>
  <c r="G14" i="12" l="1"/>
  <c r="P30" i="12" l="1"/>
  <c r="I20" i="12"/>
  <c r="G19" i="12"/>
  <c r="I19" i="12" s="1"/>
  <c r="G18" i="12"/>
  <c r="I13" i="12"/>
  <c r="C18" i="11"/>
  <c r="G21" i="12" l="1"/>
  <c r="I21" i="12" s="1"/>
  <c r="I14" i="12"/>
  <c r="G15" i="12"/>
  <c r="I18" i="12"/>
  <c r="G21" i="11"/>
  <c r="I21" i="11"/>
  <c r="I20" i="11"/>
  <c r="G24" i="12" l="1"/>
  <c r="I24" i="12" s="1"/>
  <c r="I15" i="12"/>
  <c r="G19" i="10"/>
  <c r="G20" i="11"/>
  <c r="E21" i="11"/>
  <c r="N21" i="11"/>
  <c r="C21" i="11" l="1"/>
  <c r="K27" i="11"/>
  <c r="G19" i="11" l="1"/>
  <c r="I19" i="11" s="1"/>
  <c r="P29" i="11"/>
  <c r="O27" i="11"/>
  <c r="L27" i="11"/>
  <c r="L25" i="11"/>
  <c r="M19" i="11"/>
  <c r="L15" i="11"/>
  <c r="L16" i="11" s="1"/>
  <c r="P14" i="11"/>
  <c r="K13" i="11"/>
  <c r="N12" i="11"/>
  <c r="O19" i="11"/>
  <c r="O18" i="11"/>
  <c r="O21" i="11" l="1"/>
  <c r="C23" i="11" s="1"/>
  <c r="K15" i="11"/>
  <c r="K16" i="11" s="1"/>
  <c r="G13" i="11"/>
  <c r="I13" i="11" s="1"/>
  <c r="G14" i="11"/>
  <c r="I14" i="11" s="1"/>
  <c r="C15" i="11"/>
  <c r="G18" i="11"/>
  <c r="L17" i="11"/>
  <c r="C14" i="10"/>
  <c r="K16" i="10"/>
  <c r="K15" i="10"/>
  <c r="L16" i="10"/>
  <c r="K26" i="10"/>
  <c r="C18" i="10" s="1"/>
  <c r="O20" i="10"/>
  <c r="K24" i="10"/>
  <c r="L26" i="10"/>
  <c r="L24" i="10"/>
  <c r="K17" i="11" l="1"/>
  <c r="N13" i="11"/>
  <c r="G15" i="11"/>
  <c r="I15" i="11" s="1"/>
  <c r="I18" i="11"/>
  <c r="E15" i="10"/>
  <c r="E20" i="10"/>
  <c r="E22" i="10" s="1"/>
  <c r="P28" i="10"/>
  <c r="O26" i="10"/>
  <c r="N20" i="10"/>
  <c r="C20" i="10"/>
  <c r="M19" i="10"/>
  <c r="I19" i="10"/>
  <c r="L15" i="10"/>
  <c r="L17" i="10" s="1"/>
  <c r="K17" i="10"/>
  <c r="C15" i="10"/>
  <c r="P14" i="10"/>
  <c r="G14" i="10"/>
  <c r="I14" i="10" s="1"/>
  <c r="K13" i="10"/>
  <c r="G13" i="10"/>
  <c r="N12" i="10"/>
  <c r="G23" i="11" l="1"/>
  <c r="I23" i="11" s="1"/>
  <c r="C22" i="10"/>
  <c r="N13" i="10" s="1"/>
  <c r="G15" i="10"/>
  <c r="I15" i="10" s="1"/>
  <c r="I13" i="10"/>
  <c r="G18" i="10"/>
  <c r="K15" i="9"/>
  <c r="L16" i="9"/>
  <c r="P28" i="9"/>
  <c r="O26" i="9"/>
  <c r="K13" i="9"/>
  <c r="C20" i="9"/>
  <c r="E15" i="9"/>
  <c r="C15" i="9"/>
  <c r="L17" i="9"/>
  <c r="K17" i="9"/>
  <c r="K24" i="9"/>
  <c r="L24" i="9"/>
  <c r="L26" i="9" s="1"/>
  <c r="L15" i="9"/>
  <c r="K16" i="9"/>
  <c r="P14" i="9"/>
  <c r="N20" i="9"/>
  <c r="M19" i="9"/>
  <c r="N12" i="9"/>
  <c r="E18" i="9"/>
  <c r="E20" i="9" s="1"/>
  <c r="E22" i="9" s="1"/>
  <c r="G19" i="9"/>
  <c r="I19" i="9" s="1"/>
  <c r="K25" i="9" l="1"/>
  <c r="K26" i="9" s="1"/>
  <c r="G20" i="10"/>
  <c r="I18" i="10"/>
  <c r="C22" i="9"/>
  <c r="N13" i="9" s="1"/>
  <c r="G14" i="9"/>
  <c r="I14" i="9" s="1"/>
  <c r="G13" i="9"/>
  <c r="I13" i="9" s="1"/>
  <c r="G18" i="9"/>
  <c r="C18" i="7"/>
  <c r="E18" i="7"/>
  <c r="G22" i="10" l="1"/>
  <c r="I22" i="10" s="1"/>
  <c r="I20" i="10"/>
  <c r="G15" i="9"/>
  <c r="I15" i="9" s="1"/>
  <c r="I18" i="9"/>
  <c r="G20" i="9"/>
  <c r="G18" i="7"/>
  <c r="E19" i="7"/>
  <c r="G19" i="7" s="1"/>
  <c r="E14" i="7"/>
  <c r="G14" i="7" s="1"/>
  <c r="E13" i="7"/>
  <c r="G13" i="7" s="1"/>
  <c r="C20" i="7"/>
  <c r="C15" i="7"/>
  <c r="G18" i="8"/>
  <c r="I18" i="8"/>
  <c r="C19" i="8"/>
  <c r="G19" i="8" s="1"/>
  <c r="I19" i="8" s="1"/>
  <c r="G21" i="8"/>
  <c r="G20" i="8"/>
  <c r="I20" i="8" s="1"/>
  <c r="C17" i="8"/>
  <c r="G13" i="8"/>
  <c r="I13" i="8" s="1"/>
  <c r="E20" i="7" l="1"/>
  <c r="I20" i="9"/>
  <c r="G22" i="9"/>
  <c r="I22" i="9" s="1"/>
  <c r="G15" i="7"/>
  <c r="G20" i="7"/>
  <c r="I20" i="7" s="1"/>
  <c r="I18" i="7"/>
  <c r="E15" i="7"/>
  <c r="C22" i="7"/>
  <c r="C22" i="8"/>
  <c r="G17" i="8"/>
  <c r="G22" i="8"/>
  <c r="I22" i="8" s="1"/>
  <c r="E22" i="7" l="1"/>
  <c r="I15" i="7"/>
  <c r="I17" i="8"/>
  <c r="C14" i="6" l="1"/>
  <c r="I14" i="7"/>
  <c r="I19" i="7" l="1"/>
  <c r="I13" i="7"/>
  <c r="G14" i="6"/>
  <c r="I14" i="6" s="1"/>
  <c r="G21" i="6"/>
  <c r="G20" i="6"/>
  <c r="I20" i="6" s="1"/>
  <c r="G19" i="6"/>
  <c r="G18" i="6"/>
  <c r="G13" i="6"/>
  <c r="I13" i="6" s="1"/>
  <c r="C22" i="6"/>
  <c r="I19" i="6"/>
  <c r="G22" i="7" l="1"/>
  <c r="I22" i="7" s="1"/>
  <c r="C15" i="6"/>
  <c r="C24" i="6" s="1"/>
  <c r="G22" i="6"/>
  <c r="I22" i="6" s="1"/>
  <c r="I18" i="6"/>
  <c r="G15" i="6"/>
  <c r="I15" i="6" s="1"/>
  <c r="G112" i="3"/>
  <c r="I72" i="3"/>
  <c r="I14" i="5"/>
  <c r="E22" i="5"/>
  <c r="G15" i="5"/>
  <c r="C15" i="5"/>
  <c r="I20" i="5"/>
  <c r="I19" i="5"/>
  <c r="I18" i="5"/>
  <c r="I13" i="5"/>
  <c r="G22" i="5"/>
  <c r="C22" i="5"/>
  <c r="E15" i="5"/>
  <c r="C93" i="4"/>
  <c r="C92" i="4"/>
  <c r="C91" i="4"/>
  <c r="C89" i="4"/>
  <c r="E88" i="4"/>
  <c r="C87" i="4"/>
  <c r="F82" i="4"/>
  <c r="G82" i="4" s="1"/>
  <c r="B82" i="4"/>
  <c r="F81" i="4"/>
  <c r="G81" i="4" s="1"/>
  <c r="B81" i="4"/>
  <c r="F80" i="4"/>
  <c r="G80" i="4" s="1"/>
  <c r="B80" i="4"/>
  <c r="F79" i="4"/>
  <c r="G79" i="4" s="1"/>
  <c r="B79" i="4"/>
  <c r="F78" i="4"/>
  <c r="G78" i="4" s="1"/>
  <c r="B78" i="4"/>
  <c r="E77" i="4"/>
  <c r="F77" i="4" s="1"/>
  <c r="G77" i="4" s="1"/>
  <c r="B77" i="4"/>
  <c r="E76" i="4"/>
  <c r="F76" i="4" s="1"/>
  <c r="G76" i="4" s="1"/>
  <c r="B76" i="4"/>
  <c r="E75" i="4"/>
  <c r="F75" i="4" s="1"/>
  <c r="G75" i="4" s="1"/>
  <c r="B75" i="4"/>
  <c r="E74" i="4"/>
  <c r="F74" i="4" s="1"/>
  <c r="G74" i="4" s="1"/>
  <c r="B74" i="4"/>
  <c r="G73" i="4"/>
  <c r="E73" i="4"/>
  <c r="F73" i="4" s="1"/>
  <c r="B73" i="4"/>
  <c r="E72" i="4"/>
  <c r="F72" i="4" s="1"/>
  <c r="G72" i="4" s="1"/>
  <c r="B72" i="4"/>
  <c r="E71" i="4"/>
  <c r="F71" i="4" s="1"/>
  <c r="G71" i="4" s="1"/>
  <c r="B71" i="4"/>
  <c r="E70" i="4"/>
  <c r="F70" i="4" s="1"/>
  <c r="G70" i="4" s="1"/>
  <c r="B70" i="4"/>
  <c r="E69" i="4"/>
  <c r="F69" i="4" s="1"/>
  <c r="G69" i="4" s="1"/>
  <c r="B69" i="4"/>
  <c r="E68" i="4"/>
  <c r="F68" i="4" s="1"/>
  <c r="G68" i="4" s="1"/>
  <c r="B68" i="4"/>
  <c r="E67" i="4"/>
  <c r="F67" i="4" s="1"/>
  <c r="G67" i="4" s="1"/>
  <c r="B67" i="4"/>
  <c r="G66" i="4"/>
  <c r="F66" i="4"/>
  <c r="B66" i="4"/>
  <c r="F65" i="4"/>
  <c r="G65" i="4" s="1"/>
  <c r="B65" i="4"/>
  <c r="E64" i="4"/>
  <c r="F64" i="4" s="1"/>
  <c r="G64" i="4" s="1"/>
  <c r="B64" i="4"/>
  <c r="E63" i="4"/>
  <c r="F63" i="4" s="1"/>
  <c r="G63" i="4" s="1"/>
  <c r="B63" i="4"/>
  <c r="E62" i="4"/>
  <c r="F62" i="4" s="1"/>
  <c r="G62" i="4" s="1"/>
  <c r="B62" i="4"/>
  <c r="F61" i="4"/>
  <c r="G61" i="4" s="1"/>
  <c r="E61" i="4"/>
  <c r="B61" i="4"/>
  <c r="E60" i="4"/>
  <c r="F60" i="4" s="1"/>
  <c r="G60" i="4" s="1"/>
  <c r="B60" i="4"/>
  <c r="E59" i="4"/>
  <c r="F59" i="4" s="1"/>
  <c r="G59" i="4" s="1"/>
  <c r="B59" i="4"/>
  <c r="E58" i="4"/>
  <c r="F58" i="4" s="1"/>
  <c r="G58" i="4" s="1"/>
  <c r="B58" i="4"/>
  <c r="F57" i="4"/>
  <c r="G57" i="4" s="1"/>
  <c r="B57" i="4"/>
  <c r="E56" i="4"/>
  <c r="F56" i="4" s="1"/>
  <c r="G56" i="4" s="1"/>
  <c r="B56" i="4"/>
  <c r="E55" i="4"/>
  <c r="F55" i="4" s="1"/>
  <c r="G55" i="4" s="1"/>
  <c r="B55" i="4"/>
  <c r="E54" i="4"/>
  <c r="F54" i="4" s="1"/>
  <c r="G54" i="4" s="1"/>
  <c r="B54" i="4"/>
  <c r="E53" i="4"/>
  <c r="F53" i="4" s="1"/>
  <c r="G53" i="4" s="1"/>
  <c r="B53" i="4"/>
  <c r="E52" i="4"/>
  <c r="F52" i="4" s="1"/>
  <c r="G52" i="4" s="1"/>
  <c r="B52" i="4"/>
  <c r="E51" i="4"/>
  <c r="F51" i="4" s="1"/>
  <c r="G51" i="4" s="1"/>
  <c r="B51" i="4"/>
  <c r="E50" i="4"/>
  <c r="F50" i="4" s="1"/>
  <c r="G50" i="4" s="1"/>
  <c r="B50" i="4"/>
  <c r="E49" i="4"/>
  <c r="F49" i="4" s="1"/>
  <c r="G49" i="4" s="1"/>
  <c r="B49" i="4"/>
  <c r="E48" i="4"/>
  <c r="F48" i="4" s="1"/>
  <c r="G48" i="4" s="1"/>
  <c r="B48" i="4"/>
  <c r="E47" i="4"/>
  <c r="F47" i="4" s="1"/>
  <c r="G47" i="4" s="1"/>
  <c r="B47" i="4"/>
  <c r="E46" i="4"/>
  <c r="F46" i="4" s="1"/>
  <c r="G46" i="4" s="1"/>
  <c r="B46" i="4"/>
  <c r="E45" i="4"/>
  <c r="F45" i="4" s="1"/>
  <c r="G45" i="4" s="1"/>
  <c r="B45" i="4"/>
  <c r="E44" i="4"/>
  <c r="F44" i="4" s="1"/>
  <c r="G44" i="4" s="1"/>
  <c r="B44" i="4"/>
  <c r="E43" i="4"/>
  <c r="F43" i="4" s="1"/>
  <c r="G43" i="4" s="1"/>
  <c r="B43" i="4"/>
  <c r="E42" i="4"/>
  <c r="F42" i="4" s="1"/>
  <c r="G42" i="4" s="1"/>
  <c r="B42" i="4"/>
  <c r="F41" i="4"/>
  <c r="G41" i="4" s="1"/>
  <c r="E41" i="4"/>
  <c r="B41" i="4"/>
  <c r="E40" i="4"/>
  <c r="F40" i="4" s="1"/>
  <c r="G40" i="4" s="1"/>
  <c r="B40" i="4"/>
  <c r="E39" i="4"/>
  <c r="F39" i="4" s="1"/>
  <c r="G39" i="4" s="1"/>
  <c r="B39" i="4"/>
  <c r="E38" i="4"/>
  <c r="F38" i="4" s="1"/>
  <c r="G38" i="4" s="1"/>
  <c r="B38" i="4"/>
  <c r="E37" i="4"/>
  <c r="F37" i="4" s="1"/>
  <c r="G37" i="4" s="1"/>
  <c r="B37" i="4"/>
  <c r="E36" i="4"/>
  <c r="F36" i="4" s="1"/>
  <c r="G36" i="4" s="1"/>
  <c r="B36" i="4"/>
  <c r="E35" i="4"/>
  <c r="F35" i="4" s="1"/>
  <c r="G35" i="4" s="1"/>
  <c r="B35" i="4"/>
  <c r="E34" i="4"/>
  <c r="F34" i="4" s="1"/>
  <c r="G34" i="4" s="1"/>
  <c r="B34" i="4"/>
  <c r="E33" i="4"/>
  <c r="F33" i="4" s="1"/>
  <c r="G33" i="4" s="1"/>
  <c r="B33" i="4"/>
  <c r="E32" i="4"/>
  <c r="F32" i="4" s="1"/>
  <c r="G32" i="4" s="1"/>
  <c r="B32" i="4"/>
  <c r="E31" i="4"/>
  <c r="F31" i="4" s="1"/>
  <c r="G31" i="4" s="1"/>
  <c r="B31" i="4"/>
  <c r="E30" i="4"/>
  <c r="F30" i="4" s="1"/>
  <c r="G30" i="4" s="1"/>
  <c r="B30" i="4"/>
  <c r="F29" i="4"/>
  <c r="G29" i="4" s="1"/>
  <c r="E29" i="4"/>
  <c r="B29" i="4"/>
  <c r="E28" i="4"/>
  <c r="F28" i="4" s="1"/>
  <c r="G28" i="4" s="1"/>
  <c r="B28" i="4"/>
  <c r="E27" i="4"/>
  <c r="F27" i="4" s="1"/>
  <c r="G27" i="4" s="1"/>
  <c r="B27" i="4"/>
  <c r="E26" i="4"/>
  <c r="F26" i="4" s="1"/>
  <c r="G26" i="4" s="1"/>
  <c r="B26" i="4"/>
  <c r="F25" i="4"/>
  <c r="G25" i="4" s="1"/>
  <c r="E25" i="4"/>
  <c r="B25" i="4"/>
  <c r="E24" i="4"/>
  <c r="F24" i="4" s="1"/>
  <c r="G24" i="4" s="1"/>
  <c r="B24" i="4"/>
  <c r="E23" i="4"/>
  <c r="F23" i="4" s="1"/>
  <c r="G23" i="4" s="1"/>
  <c r="B23" i="4"/>
  <c r="E22" i="4"/>
  <c r="F22" i="4" s="1"/>
  <c r="G22" i="4" s="1"/>
  <c r="B22" i="4"/>
  <c r="E21" i="4"/>
  <c r="F21" i="4" s="1"/>
  <c r="G21" i="4" s="1"/>
  <c r="B21" i="4"/>
  <c r="E20" i="4"/>
  <c r="F20" i="4" s="1"/>
  <c r="G20" i="4" s="1"/>
  <c r="B20" i="4"/>
  <c r="E19" i="4"/>
  <c r="F19" i="4" s="1"/>
  <c r="G19" i="4" s="1"/>
  <c r="B19" i="4"/>
  <c r="E18" i="4"/>
  <c r="F18" i="4" s="1"/>
  <c r="G18" i="4" s="1"/>
  <c r="B18" i="4"/>
  <c r="E17" i="4"/>
  <c r="F17" i="4" s="1"/>
  <c r="G17" i="4" s="1"/>
  <c r="B17" i="4"/>
  <c r="E16" i="4"/>
  <c r="F16" i="4" s="1"/>
  <c r="G16" i="4" s="1"/>
  <c r="B16" i="4"/>
  <c r="E15" i="4"/>
  <c r="F15" i="4" s="1"/>
  <c r="G15" i="4" s="1"/>
  <c r="B15" i="4"/>
  <c r="E14" i="4"/>
  <c r="F14" i="4" s="1"/>
  <c r="G14" i="4" s="1"/>
  <c r="B14" i="4"/>
  <c r="F13" i="4"/>
  <c r="G13" i="4" s="1"/>
  <c r="E13" i="4"/>
  <c r="B13" i="4"/>
  <c r="E12" i="4"/>
  <c r="F12" i="4" s="1"/>
  <c r="G12" i="4" s="1"/>
  <c r="B12" i="4"/>
  <c r="E11" i="4"/>
  <c r="F11" i="4" s="1"/>
  <c r="G11" i="4" s="1"/>
  <c r="B11" i="4"/>
  <c r="E10" i="4"/>
  <c r="F10" i="4" s="1"/>
  <c r="G10" i="4" s="1"/>
  <c r="B10" i="4"/>
  <c r="E9" i="4"/>
  <c r="F9" i="4" s="1"/>
  <c r="G9" i="4" s="1"/>
  <c r="B9" i="4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9" i="3"/>
  <c r="G24" i="6" l="1"/>
  <c r="G24" i="5"/>
  <c r="I22" i="5"/>
  <c r="C24" i="5"/>
  <c r="E24" i="5"/>
  <c r="I15" i="5"/>
  <c r="C93" i="3"/>
  <c r="C92" i="3"/>
  <c r="C91" i="3"/>
  <c r="C89" i="3"/>
  <c r="C87" i="3"/>
  <c r="F88" i="3" l="1"/>
  <c r="G57" i="3" l="1"/>
  <c r="H57" i="3" s="1"/>
  <c r="G65" i="3"/>
  <c r="H65" i="3" s="1"/>
  <c r="G66" i="3"/>
  <c r="H66" i="3" s="1"/>
  <c r="G78" i="3"/>
  <c r="H78" i="3" s="1"/>
  <c r="G79" i="3"/>
  <c r="H79" i="3" s="1"/>
  <c r="G80" i="3"/>
  <c r="H80" i="3" s="1"/>
  <c r="G81" i="3"/>
  <c r="H81" i="3" s="1"/>
  <c r="G82" i="3"/>
  <c r="H82" i="3" s="1"/>
  <c r="F10" i="3"/>
  <c r="G10" i="3" s="1"/>
  <c r="H10" i="3" s="1"/>
  <c r="F11" i="3"/>
  <c r="G11" i="3" s="1"/>
  <c r="H11" i="3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F17" i="3"/>
  <c r="G17" i="3" s="1"/>
  <c r="H17" i="3" s="1"/>
  <c r="F18" i="3"/>
  <c r="G18" i="3" s="1"/>
  <c r="H18" i="3" s="1"/>
  <c r="F19" i="3"/>
  <c r="G19" i="3" s="1"/>
  <c r="H19" i="3" s="1"/>
  <c r="F20" i="3"/>
  <c r="G20" i="3" s="1"/>
  <c r="H20" i="3" s="1"/>
  <c r="F21" i="3"/>
  <c r="G21" i="3" s="1"/>
  <c r="H21" i="3" s="1"/>
  <c r="F22" i="3"/>
  <c r="G22" i="3" s="1"/>
  <c r="H22" i="3" s="1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27" i="3"/>
  <c r="G27" i="3" s="1"/>
  <c r="H27" i="3" s="1"/>
  <c r="F28" i="3"/>
  <c r="G28" i="3" s="1"/>
  <c r="H28" i="3" s="1"/>
  <c r="F29" i="3"/>
  <c r="G29" i="3" s="1"/>
  <c r="H29" i="3" s="1"/>
  <c r="F30" i="3"/>
  <c r="G30" i="3" s="1"/>
  <c r="H30" i="3" s="1"/>
  <c r="F31" i="3"/>
  <c r="G31" i="3" s="1"/>
  <c r="H31" i="3" s="1"/>
  <c r="F32" i="3"/>
  <c r="G32" i="3" s="1"/>
  <c r="H32" i="3" s="1"/>
  <c r="F33" i="3"/>
  <c r="G33" i="3" s="1"/>
  <c r="H33" i="3" s="1"/>
  <c r="F34" i="3"/>
  <c r="G34" i="3" s="1"/>
  <c r="H34" i="3" s="1"/>
  <c r="F35" i="3"/>
  <c r="G35" i="3" s="1"/>
  <c r="H35" i="3" s="1"/>
  <c r="F36" i="3"/>
  <c r="G36" i="3" s="1"/>
  <c r="H36" i="3" s="1"/>
  <c r="F37" i="3"/>
  <c r="G37" i="3" s="1"/>
  <c r="H37" i="3" s="1"/>
  <c r="F38" i="3"/>
  <c r="G38" i="3" s="1"/>
  <c r="H38" i="3" s="1"/>
  <c r="F39" i="3"/>
  <c r="G39" i="3" s="1"/>
  <c r="H39" i="3" s="1"/>
  <c r="F40" i="3"/>
  <c r="G40" i="3" s="1"/>
  <c r="H40" i="3" s="1"/>
  <c r="F41" i="3"/>
  <c r="G41" i="3" s="1"/>
  <c r="H41" i="3" s="1"/>
  <c r="F42" i="3"/>
  <c r="G42" i="3" s="1"/>
  <c r="H42" i="3" s="1"/>
  <c r="F43" i="3"/>
  <c r="G43" i="3" s="1"/>
  <c r="H43" i="3" s="1"/>
  <c r="F44" i="3"/>
  <c r="G44" i="3" s="1"/>
  <c r="H44" i="3" s="1"/>
  <c r="F45" i="3"/>
  <c r="G45" i="3" s="1"/>
  <c r="H45" i="3" s="1"/>
  <c r="F46" i="3"/>
  <c r="G46" i="3" s="1"/>
  <c r="H46" i="3" s="1"/>
  <c r="F47" i="3"/>
  <c r="G47" i="3" s="1"/>
  <c r="H47" i="3" s="1"/>
  <c r="F48" i="3"/>
  <c r="G48" i="3" s="1"/>
  <c r="H48" i="3" s="1"/>
  <c r="F49" i="3"/>
  <c r="G49" i="3" s="1"/>
  <c r="H49" i="3" s="1"/>
  <c r="F50" i="3"/>
  <c r="G50" i="3" s="1"/>
  <c r="H50" i="3" s="1"/>
  <c r="F51" i="3"/>
  <c r="G51" i="3" s="1"/>
  <c r="H51" i="3" s="1"/>
  <c r="F52" i="3"/>
  <c r="G52" i="3" s="1"/>
  <c r="H52" i="3" s="1"/>
  <c r="F53" i="3"/>
  <c r="G53" i="3" s="1"/>
  <c r="H53" i="3" s="1"/>
  <c r="F54" i="3"/>
  <c r="G54" i="3" s="1"/>
  <c r="H54" i="3" s="1"/>
  <c r="F55" i="3"/>
  <c r="G55" i="3" s="1"/>
  <c r="H55" i="3" s="1"/>
  <c r="F56" i="3"/>
  <c r="G56" i="3" s="1"/>
  <c r="H56" i="3" s="1"/>
  <c r="F58" i="3"/>
  <c r="G58" i="3" s="1"/>
  <c r="H58" i="3" s="1"/>
  <c r="F59" i="3"/>
  <c r="G59" i="3" s="1"/>
  <c r="H59" i="3" s="1"/>
  <c r="F60" i="3"/>
  <c r="G60" i="3" s="1"/>
  <c r="H60" i="3" s="1"/>
  <c r="F61" i="3"/>
  <c r="G61" i="3" s="1"/>
  <c r="H61" i="3" s="1"/>
  <c r="F62" i="3"/>
  <c r="G62" i="3" s="1"/>
  <c r="H62" i="3" s="1"/>
  <c r="F63" i="3"/>
  <c r="G63" i="3" s="1"/>
  <c r="H63" i="3" s="1"/>
  <c r="F64" i="3"/>
  <c r="G64" i="3" s="1"/>
  <c r="H64" i="3" s="1"/>
  <c r="F67" i="3"/>
  <c r="G67" i="3" s="1"/>
  <c r="H67" i="3" s="1"/>
  <c r="F68" i="3"/>
  <c r="G68" i="3" s="1"/>
  <c r="H68" i="3" s="1"/>
  <c r="F69" i="3"/>
  <c r="G69" i="3" s="1"/>
  <c r="H69" i="3" s="1"/>
  <c r="F70" i="3"/>
  <c r="G70" i="3" s="1"/>
  <c r="H70" i="3" s="1"/>
  <c r="F71" i="3"/>
  <c r="G71" i="3" s="1"/>
  <c r="F72" i="3"/>
  <c r="G72" i="3" s="1"/>
  <c r="H72" i="3" s="1"/>
  <c r="F73" i="3"/>
  <c r="G73" i="3" s="1"/>
  <c r="H73" i="3" s="1"/>
  <c r="F74" i="3"/>
  <c r="G74" i="3" s="1"/>
  <c r="H74" i="3" s="1"/>
  <c r="F75" i="3"/>
  <c r="G75" i="3" s="1"/>
  <c r="H75" i="3" s="1"/>
  <c r="F76" i="3"/>
  <c r="G76" i="3" s="1"/>
  <c r="H76" i="3" s="1"/>
  <c r="F77" i="3"/>
  <c r="G77" i="3" s="1"/>
  <c r="H77" i="3" s="1"/>
  <c r="F9" i="3"/>
  <c r="G9" i="3" s="1"/>
  <c r="H9" i="3" s="1"/>
  <c r="H71" i="3" l="1"/>
  <c r="I71" i="3"/>
  <c r="I73" i="3" s="1"/>
  <c r="I15" i="8" l="1"/>
  <c r="G15" i="8"/>
  <c r="G24" i="8"/>
  <c r="C15" i="8"/>
  <c r="C24" i="8"/>
</calcChain>
</file>

<file path=xl/sharedStrings.xml><?xml version="1.0" encoding="utf-8"?>
<sst xmlns="http://schemas.openxmlformats.org/spreadsheetml/2006/main" count="465" uniqueCount="243">
  <si>
    <t>INGRESOS</t>
  </si>
  <si>
    <t>INGRESOS OPERATIVOS</t>
  </si>
  <si>
    <t>INGRESOS OPERATIVOS DE LA EMPRESA</t>
  </si>
  <si>
    <t>HONORARIOS Y COMISIONES POR SERVICIOS</t>
  </si>
  <si>
    <t>COMISIONES FIJAS POR ADMINISTRACIÓN DE FONDOS</t>
  </si>
  <si>
    <t>GANANCIA EN VARIACION CAMBIARIA</t>
  </si>
  <si>
    <t>GANANCIA CAMBIARIA</t>
  </si>
  <si>
    <t>INGRESOS FINANCIEROS</t>
  </si>
  <si>
    <t>INTERESES GANADOS</t>
  </si>
  <si>
    <t>RENDIMIENTOS POR DISPONIBILIDAD</t>
  </si>
  <si>
    <t>RENDIMIENTOS SOBRE DSIPONIBILIDADES</t>
  </si>
  <si>
    <t>RENDIMIENTOS POR INVERSIONES</t>
  </si>
  <si>
    <t>RENDIMIENTOS POR INVERSIONES TÍTULOS VALORES DE DEUDA</t>
  </si>
  <si>
    <t>RENDIMIENTOS POR  INVERSIONES EN INSTITUCIONES FINANCIERAS</t>
  </si>
  <si>
    <t>SUPERÁVIT INVERSIONES EN BONO</t>
  </si>
  <si>
    <t>OTROS INGRESOS EXTRAORDINARIOS</t>
  </si>
  <si>
    <t>INGRESOS EXTRAORDINARIOS</t>
  </si>
  <si>
    <t>GANANCIA REALIZADA EN VALOR POR VENTA INSTRUMENTOS BANCO CENTRAL</t>
  </si>
  <si>
    <t>GASTOS</t>
  </si>
  <si>
    <t>GASTOS OPERATIVOS</t>
  </si>
  <si>
    <t>GASTOS POR COMISIONES POR SERVICIOS</t>
  </si>
  <si>
    <t>CUOTA SUPERINTENDENCIA DE VALORES</t>
  </si>
  <si>
    <t>GASTOS CEVALDOM</t>
  </si>
  <si>
    <t>OTROS GASTOS OPERATIVOS</t>
  </si>
  <si>
    <t>HONORARIOS PROFESIONALES</t>
  </si>
  <si>
    <t>GASTOS FINANCIEROS</t>
  </si>
  <si>
    <t>OTROS GASTOS FINANCIEROS</t>
  </si>
  <si>
    <t>AMORTIZACIÓN DE INVERSIONES</t>
  </si>
  <si>
    <t>GASTOS COMISION COBRO CUPON CEVALDOM</t>
  </si>
  <si>
    <t>GASTOS BANCARIOS</t>
  </si>
  <si>
    <t>COMISION BANCARIA</t>
  </si>
  <si>
    <t>OTROS CARGOS BANCARIOS</t>
  </si>
  <si>
    <t>GASTOS GENERALES Y ADMINISTRATIVOS</t>
  </si>
  <si>
    <t>GASTOS DE PERSONAL</t>
  </si>
  <si>
    <t>SUELDOS DEL PERSONAL PERMANENTE</t>
  </si>
  <si>
    <t>REGALÍA</t>
  </si>
  <si>
    <t>BONIFICACIONES</t>
  </si>
  <si>
    <t>INFOTEP</t>
  </si>
  <si>
    <t>FONDOS PARA PENSIONES DEL PERSONAL</t>
  </si>
  <si>
    <t>VACACIONES</t>
  </si>
  <si>
    <t>SEGURO FAMILIAR DE SALUD</t>
  </si>
  <si>
    <t>SEGURO DE RIESGO LABORAL</t>
  </si>
  <si>
    <t>CAPACITACIÓN</t>
  </si>
  <si>
    <t>PREAVISO Y CESANTIA</t>
  </si>
  <si>
    <t>GASTOS DE ALMUERZOS Y REFRIGERIOS</t>
  </si>
  <si>
    <t>GASTOS NAVIDAD EMPLEADOS</t>
  </si>
  <si>
    <t>GASTOS POR SERVICIOS EXTERNOS</t>
  </si>
  <si>
    <t>AUDITORIA EXTERNA</t>
  </si>
  <si>
    <t>CALIFICACION DE RIESGO</t>
  </si>
  <si>
    <t>SERVICIO PROVEEDURIA DE PRECIO</t>
  </si>
  <si>
    <t>COMUNICACIONES</t>
  </si>
  <si>
    <t>COMUNICACION-INTERNET Y DATA</t>
  </si>
  <si>
    <t>GASTOS POR DEPRECIACIÓN Y AMORTIZACIÓN</t>
  </si>
  <si>
    <t>GASTOS DE DEPRECIACION DE SOFTWARE Y LICENCIAS</t>
  </si>
  <si>
    <t>GASTOS DE DEPRECIACION DE EQUIPOS DE OFICINA</t>
  </si>
  <si>
    <t>DEMÁS GASTOS GENERALES</t>
  </si>
  <si>
    <t>CUOTA MEMBRESIA ADOSAFI</t>
  </si>
  <si>
    <t>GASTOS DE ALQUILER</t>
  </si>
  <si>
    <t>GASTOS LEGALES</t>
  </si>
  <si>
    <t>GASTOS EN LICENCIAS DE SOFTWARE</t>
  </si>
  <si>
    <t>MATERIAL Y UTILES DE OFICINA</t>
  </si>
  <si>
    <t>OTROS GASTOS GENERALES Y ADMINISTRATIVOS</t>
  </si>
  <si>
    <t>PUBLICIDAD</t>
  </si>
  <si>
    <t>EXCEL SOCIEDAD ADMINISTRADORA DE FONDOS DE INVERSION, S.A.</t>
  </si>
  <si>
    <t>En Pesos Dominicanos RD$</t>
  </si>
  <si>
    <t xml:space="preserve">Estado de resultados comparativo </t>
  </si>
  <si>
    <t>Mes  al 31 de mayo 2016 y 30 de junio 2016</t>
  </si>
  <si>
    <t>Ingresos</t>
  </si>
  <si>
    <t>Ingresos Operativos</t>
  </si>
  <si>
    <t>Ingresos Operativos De La Empresa</t>
  </si>
  <si>
    <t>Honorarios Y Comisiones Por Servicios</t>
  </si>
  <si>
    <t>Comisiones Fijas Por Administración De Fondos</t>
  </si>
  <si>
    <t>Ganancia En Variacion Cambiaria</t>
  </si>
  <si>
    <t>Ganancia Cambiaria</t>
  </si>
  <si>
    <t>Ingresos Financieros</t>
  </si>
  <si>
    <t>Intereses Ganados</t>
  </si>
  <si>
    <t>Rendimientos Por Disponibilidad</t>
  </si>
  <si>
    <t>Rendimientos Sobre Dsiponibilidades</t>
  </si>
  <si>
    <t>Rendimientos Por Inversiones</t>
  </si>
  <si>
    <t>Rendimientos Por Inversiones Títulos Valores De Deuda</t>
  </si>
  <si>
    <t>Rendimientos Por  Inversiones En Instituciones Financieras</t>
  </si>
  <si>
    <t>Superávit Inversiones En Bono</t>
  </si>
  <si>
    <t>Otros Ingresos Extraordinarios</t>
  </si>
  <si>
    <t>Ingresos Extraordinarios</t>
  </si>
  <si>
    <t>Ganancia Realizada En Valor Por Venta Instrumentos Banco Central</t>
  </si>
  <si>
    <t>Gastos</t>
  </si>
  <si>
    <t>Gastos Operativos</t>
  </si>
  <si>
    <t>Gastos Por Comisiones Por Servicios</t>
  </si>
  <si>
    <t>Cuota Superintendencia De Valores</t>
  </si>
  <si>
    <t>Gastos Cevaldom</t>
  </si>
  <si>
    <t>Otros Gastos Operativos</t>
  </si>
  <si>
    <t>Honorarios Profesionales</t>
  </si>
  <si>
    <t>Gastos Financieros</t>
  </si>
  <si>
    <t>Otros Gastos Financieros</t>
  </si>
  <si>
    <t>Amortización De Inversiones</t>
  </si>
  <si>
    <t>Gastos Comision Cobro Cupon Cevaldom</t>
  </si>
  <si>
    <t>Gastos Bancarios</t>
  </si>
  <si>
    <t>Comision Bancaria</t>
  </si>
  <si>
    <t>Otros Cargos Bancarios</t>
  </si>
  <si>
    <t>Gastos Generales Y Administrativos</t>
  </si>
  <si>
    <t>Gastos De Personal</t>
  </si>
  <si>
    <t>Sueldos Del Personal Permanente</t>
  </si>
  <si>
    <t>Regalía</t>
  </si>
  <si>
    <t>Bonificaciones</t>
  </si>
  <si>
    <t>Infotep</t>
  </si>
  <si>
    <t>Fondos Para Pensiones Del Personal</t>
  </si>
  <si>
    <t>Vacaciones</t>
  </si>
  <si>
    <t>Seguro Familiar De Salud</t>
  </si>
  <si>
    <t>Seguro De Riesgo Laboral</t>
  </si>
  <si>
    <t>Capacitación</t>
  </si>
  <si>
    <t>Preaviso Y Cesantia</t>
  </si>
  <si>
    <t>Gastos De Almuerzos Y Refrigerios</t>
  </si>
  <si>
    <t>Atenciones A Empleados Y Reembolsos Varios</t>
  </si>
  <si>
    <t>Gastos Navidad Empleados</t>
  </si>
  <si>
    <t>Gastos Por Servicios Externos</t>
  </si>
  <si>
    <t>Auditoria Externa</t>
  </si>
  <si>
    <t>Calificacion De Riesgo</t>
  </si>
  <si>
    <t>Servicio Proveeduria De Precio</t>
  </si>
  <si>
    <t>Comunicaciones</t>
  </si>
  <si>
    <t>Comunicacion-Internet Y Data</t>
  </si>
  <si>
    <t>Gastos Por Impuestos Y Contribuciones</t>
  </si>
  <si>
    <t>Moras Y Recargos Dgii</t>
  </si>
  <si>
    <t>Gastos Por Depreciación Y Amortización</t>
  </si>
  <si>
    <t>Gastos De Depreciacion De Software Y Licencias</t>
  </si>
  <si>
    <t>Gastos De Depreciacion De Equipos De Oficina</t>
  </si>
  <si>
    <t>Demás Gastos Generales</t>
  </si>
  <si>
    <t>Cuota Membresia Adosafi</t>
  </si>
  <si>
    <t>Gastos De Alquiler</t>
  </si>
  <si>
    <t>Gastos Legales</t>
  </si>
  <si>
    <t>Gastos En Licencias De Software</t>
  </si>
  <si>
    <t>Material Y Utiles De Oficina</t>
  </si>
  <si>
    <t>Otros Gastos Generales Y Administrativos</t>
  </si>
  <si>
    <t>Publicidad</t>
  </si>
  <si>
    <t>Patrocinios</t>
  </si>
  <si>
    <t>Perdida En Variacion Cambiaria</t>
  </si>
  <si>
    <t>Perdida Cambiaria</t>
  </si>
  <si>
    <t>Perdida Cambiaria En Pasivos No Financieros</t>
  </si>
  <si>
    <t>Perdida Cambiaria En Pasivos</t>
  </si>
  <si>
    <t>No. de Cuenta</t>
  </si>
  <si>
    <t xml:space="preserve">Descripción </t>
  </si>
  <si>
    <t>Balance al 30 de junio 2016</t>
  </si>
  <si>
    <t>Balance al 31 de mayo 2016</t>
  </si>
  <si>
    <t xml:space="preserve">Variación </t>
  </si>
  <si>
    <t>Variación %</t>
  </si>
  <si>
    <t xml:space="preserve">Filtro </t>
  </si>
  <si>
    <t xml:space="preserve">Mes de Junio </t>
  </si>
  <si>
    <t>Mes de Mayo</t>
  </si>
  <si>
    <t>Ingresos:</t>
  </si>
  <si>
    <t xml:space="preserve"> Operativos</t>
  </si>
  <si>
    <t xml:space="preserve"> Financieros</t>
  </si>
  <si>
    <t>Gastos:</t>
  </si>
  <si>
    <t>Operativos</t>
  </si>
  <si>
    <t>Financieros</t>
  </si>
  <si>
    <t>Generales y Administrativos</t>
  </si>
  <si>
    <t xml:space="preserve">Otros </t>
  </si>
  <si>
    <t>Utilidad Neta</t>
  </si>
  <si>
    <t xml:space="preserve">Vice-Presidente-Tesorera </t>
  </si>
  <si>
    <t>Contadora y Ejec. Principal de Finanzas</t>
  </si>
  <si>
    <t xml:space="preserve">Cultura de cumplimiento </t>
  </si>
  <si>
    <t xml:space="preserve">Foro  CCDC sobre Fondos de Inversion y Fideicomiso </t>
  </si>
  <si>
    <t>*</t>
  </si>
  <si>
    <r>
      <t xml:space="preserve">Oficial de Cumplimiento </t>
    </r>
    <r>
      <rPr>
        <sz val="11"/>
        <color rgb="FFFF0000"/>
        <rFont val="Times New Roman"/>
        <family val="1"/>
      </rPr>
      <t>*</t>
    </r>
  </si>
  <si>
    <t>Gastos de Capacitación</t>
  </si>
  <si>
    <t>Esta factura aún no se ha pagado. Se pagará en el mes corriente</t>
  </si>
  <si>
    <t xml:space="preserve">Monto </t>
  </si>
  <si>
    <t>Detalle</t>
  </si>
  <si>
    <t xml:space="preserve">Total </t>
  </si>
  <si>
    <t xml:space="preserve">Mes de Julio </t>
  </si>
  <si>
    <t>Mes  al  31 de julio 2016 y 30 de junio 2016</t>
  </si>
  <si>
    <t>EXCEL SOCIEDAD ADMINISTRADORA DE FONDOS DE INVERSIÒN, S.A.</t>
  </si>
  <si>
    <t>Mes  al  31 de agosto 2016 y 31 de julio 2016</t>
  </si>
  <si>
    <t xml:space="preserve">Mes de Agosto </t>
  </si>
  <si>
    <t xml:space="preserve"> Ingresos operativos</t>
  </si>
  <si>
    <t>Gastos generales y administrativos</t>
  </si>
  <si>
    <t xml:space="preserve"> Ingresos financieros</t>
  </si>
  <si>
    <t>Resultado operativo</t>
  </si>
  <si>
    <t>Gastos financieros</t>
  </si>
  <si>
    <t>Resultado financiero</t>
  </si>
  <si>
    <t xml:space="preserve">Mes de Septiembre </t>
  </si>
  <si>
    <t xml:space="preserve">Al  30 de septiembre 2016 y 31 de agosto 2016 </t>
  </si>
  <si>
    <t xml:space="preserve"> Octubre</t>
  </si>
  <si>
    <t xml:space="preserve"> Septiembre </t>
  </si>
  <si>
    <t>Al  31 de octubre y 30 de septiembre de 2016</t>
  </si>
  <si>
    <t xml:space="preserve">Variación absoluta </t>
  </si>
  <si>
    <t>%</t>
  </si>
  <si>
    <t>Al  30 de noviembre y 31 de octubre de 2016</t>
  </si>
  <si>
    <t xml:space="preserve">Noviembre </t>
  </si>
  <si>
    <t>Ganancia (pérdida cambiaria)</t>
  </si>
  <si>
    <t xml:space="preserve">Resultado financiero </t>
  </si>
  <si>
    <t>Ganancia (pérdida) cambiaria</t>
  </si>
  <si>
    <t xml:space="preserve"> </t>
  </si>
  <si>
    <t>Junio 2015</t>
  </si>
  <si>
    <t>Diciembre 2014</t>
  </si>
  <si>
    <t>Variaciones</t>
  </si>
  <si>
    <t>Activos</t>
  </si>
  <si>
    <t>Intereses por cobrar en títulos valores</t>
  </si>
  <si>
    <t xml:space="preserve">Cuentas por Cobrar: </t>
  </si>
  <si>
    <t>Gastos pagados por anticipado:</t>
  </si>
  <si>
    <t xml:space="preserve">            Impuesto pagado por adelantado </t>
  </si>
  <si>
    <t xml:space="preserve">            Servicios pagados por adelantado </t>
  </si>
  <si>
    <t>Total activos corrientes</t>
  </si>
  <si>
    <t xml:space="preserve">Mobiliario y equipos de oficina </t>
  </si>
  <si>
    <t>Total Activos</t>
  </si>
  <si>
    <t>Pasivos y Patrimonio</t>
  </si>
  <si>
    <t>Pasivos</t>
  </si>
  <si>
    <t xml:space="preserve">Total Pasivos </t>
  </si>
  <si>
    <t>Patrimonio</t>
  </si>
  <si>
    <t>Capital accionario</t>
  </si>
  <si>
    <t>Pérdidas acumuladas ejercicios anteriores</t>
  </si>
  <si>
    <t>Utilidad del ejercicio</t>
  </si>
  <si>
    <t>Total Patrimonio</t>
  </si>
  <si>
    <t xml:space="preserve">                  Total Pasivos y Patrimonio</t>
  </si>
  <si>
    <t>EXCEL ADMINISTRADORA DE FONDOS</t>
  </si>
  <si>
    <t>MUTUOS DE INVERSION, S.A.</t>
  </si>
  <si>
    <t>Balance General</t>
  </si>
  <si>
    <t>Al 28 de Febrero del 2010</t>
  </si>
  <si>
    <t>( En Pesos Dominicanos)</t>
  </si>
  <si>
    <t>Efectivo en bancos</t>
  </si>
  <si>
    <t>Inversiones a corto plazo en bancos</t>
  </si>
  <si>
    <t>Impuestos pagados por anticipado</t>
  </si>
  <si>
    <t>Otros activos (neto)</t>
  </si>
  <si>
    <t>Pasivos - acumulaciones y retenciones</t>
  </si>
  <si>
    <t>Capital pagado</t>
  </si>
  <si>
    <t>Resultados acumulados ejercicios anteriores</t>
  </si>
  <si>
    <t>Resultados del ejercicio</t>
  </si>
  <si>
    <t>Total Pasivos y Patrimonio</t>
  </si>
  <si>
    <t>Al 31 de Enero del 2010</t>
  </si>
  <si>
    <t xml:space="preserve">Efectivo y equivalentes de efectivo </t>
  </si>
  <si>
    <t xml:space="preserve">            Cuentas por cobrar entes relacionados</t>
  </si>
  <si>
    <t xml:space="preserve">            Comisión por cobrar fondo </t>
  </si>
  <si>
    <t>Inversiones en largo plazo</t>
  </si>
  <si>
    <t>Otros activos</t>
  </si>
  <si>
    <t>Cuentas por pagar ente relacionado</t>
  </si>
  <si>
    <t xml:space="preserve">Acumulaciones por pagar y otros pasivos </t>
  </si>
  <si>
    <t>Estado de Situación Financiera</t>
  </si>
  <si>
    <t>Vice-Presidente-Tesorera</t>
  </si>
  <si>
    <t xml:space="preserve">Estado de Resultados </t>
  </si>
  <si>
    <t>Utilidad Neta Julio</t>
  </si>
  <si>
    <t>Agosto</t>
  </si>
  <si>
    <t>EXCEL SOCIEDAD ADMINISTRADORA DE FONDOS DE INVERSIÓN, S. A.</t>
  </si>
  <si>
    <t xml:space="preserve">Septiembre </t>
  </si>
  <si>
    <t>Al 30 de septiembre y 31 de agosto de 2017</t>
  </si>
  <si>
    <t xml:space="preserve">            Otras cuentas por cobrar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</si>
</sst>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33495F"/>
      <name val="Trebuchet MS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247">
    <xf numFmtId="0" fontId="0" fillId="0" borderId="0" xfId="0"/>
    <xf numFmtId="4" fontId="0" fillId="0" borderId="0" xfId="0" applyNumberFormat="1"/>
    <xf numFmtId="164" fontId="0" fillId="0" borderId="0" xfId="0" applyNumberFormat="1"/>
    <xf numFmtId="9" fontId="0" fillId="0" borderId="0" xfId="2" applyFont="1" applyAlignment="1">
      <alignment horizontal="center"/>
    </xf>
    <xf numFmtId="0" fontId="0" fillId="33" borderId="0" xfId="0" applyFill="1"/>
    <xf numFmtId="164" fontId="0" fillId="33" borderId="0" xfId="1" applyFont="1" applyFill="1"/>
    <xf numFmtId="165" fontId="20" fillId="33" borderId="0" xfId="0" applyNumberFormat="1" applyFont="1" applyFill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0" borderId="10" xfId="0" applyFont="1" applyBorder="1"/>
    <xf numFmtId="0" fontId="21" fillId="0" borderId="0" xfId="0" applyFont="1"/>
    <xf numFmtId="164" fontId="0" fillId="0" borderId="0" xfId="1" applyFont="1"/>
    <xf numFmtId="0" fontId="0" fillId="34" borderId="0" xfId="0" applyFill="1"/>
    <xf numFmtId="4" fontId="0" fillId="34" borderId="0" xfId="0" applyNumberFormat="1" applyFill="1"/>
    <xf numFmtId="164" fontId="0" fillId="34" borderId="0" xfId="1" applyFont="1" applyFill="1"/>
    <xf numFmtId="164" fontId="0" fillId="34" borderId="0" xfId="0" applyNumberFormat="1" applyFill="1"/>
    <xf numFmtId="9" fontId="0" fillId="34" borderId="0" xfId="2" applyFont="1" applyFill="1" applyAlignment="1">
      <alignment horizontal="center"/>
    </xf>
    <xf numFmtId="164" fontId="0" fillId="33" borderId="0" xfId="0" applyNumberFormat="1" applyFill="1"/>
    <xf numFmtId="0" fontId="21" fillId="0" borderId="0" xfId="0" applyFont="1" applyBorder="1" applyAlignment="1">
      <alignment horizontal="center" wrapText="1"/>
    </xf>
    <xf numFmtId="0" fontId="21" fillId="33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19" fillId="0" borderId="0" xfId="0" applyFont="1"/>
    <xf numFmtId="0" fontId="22" fillId="0" borderId="0" xfId="0" applyFont="1"/>
    <xf numFmtId="0" fontId="22" fillId="33" borderId="0" xfId="0" applyFont="1" applyFill="1"/>
    <xf numFmtId="4" fontId="22" fillId="33" borderId="0" xfId="0" applyNumberFormat="1" applyFont="1" applyFill="1"/>
    <xf numFmtId="164" fontId="22" fillId="33" borderId="0" xfId="1" applyFont="1" applyFill="1"/>
    <xf numFmtId="164" fontId="22" fillId="33" borderId="0" xfId="0" applyNumberFormat="1" applyFont="1" applyFill="1"/>
    <xf numFmtId="9" fontId="22" fillId="33" borderId="0" xfId="2" applyFont="1" applyFill="1" applyAlignment="1">
      <alignment horizontal="center"/>
    </xf>
    <xf numFmtId="0" fontId="20" fillId="0" borderId="0" xfId="0" applyFont="1"/>
    <xf numFmtId="37" fontId="20" fillId="0" borderId="0" xfId="1" applyNumberFormat="1" applyFont="1" applyAlignment="1">
      <alignment horizontal="right"/>
    </xf>
    <xf numFmtId="37" fontId="20" fillId="33" borderId="0" xfId="1" applyNumberFormat="1" applyFont="1" applyFill="1" applyAlignment="1">
      <alignment horizontal="right"/>
    </xf>
    <xf numFmtId="164" fontId="20" fillId="0" borderId="0" xfId="1" applyFont="1"/>
    <xf numFmtId="4" fontId="22" fillId="33" borderId="10" xfId="0" applyNumberFormat="1" applyFont="1" applyFill="1" applyBorder="1"/>
    <xf numFmtId="164" fontId="22" fillId="33" borderId="10" xfId="1" applyFont="1" applyFill="1" applyBorder="1"/>
    <xf numFmtId="164" fontId="22" fillId="33" borderId="10" xfId="0" applyNumberFormat="1" applyFont="1" applyFill="1" applyBorder="1"/>
    <xf numFmtId="4" fontId="21" fillId="33" borderId="0" xfId="0" applyNumberFormat="1" applyFont="1" applyFill="1"/>
    <xf numFmtId="164" fontId="21" fillId="33" borderId="0" xfId="1" applyFont="1" applyFill="1"/>
    <xf numFmtId="4" fontId="21" fillId="0" borderId="11" xfId="0" applyNumberFormat="1" applyFont="1" applyBorder="1"/>
    <xf numFmtId="4" fontId="21" fillId="33" borderId="12" xfId="0" applyNumberFormat="1" applyFont="1" applyFill="1" applyBorder="1"/>
    <xf numFmtId="9" fontId="21" fillId="33" borderId="0" xfId="2" applyFont="1" applyFill="1" applyAlignment="1">
      <alignment horizontal="center"/>
    </xf>
    <xf numFmtId="0" fontId="0" fillId="0" borderId="10" xfId="0" applyBorder="1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164" fontId="22" fillId="0" borderId="0" xfId="1" applyFont="1"/>
    <xf numFmtId="164" fontId="21" fillId="33" borderId="0" xfId="0" applyNumberFormat="1" applyFont="1" applyFill="1"/>
    <xf numFmtId="0" fontId="23" fillId="0" borderId="0" xfId="0" applyFont="1" applyAlignment="1">
      <alignment horizontal="right"/>
    </xf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3" fontId="22" fillId="33" borderId="0" xfId="0" applyNumberFormat="1" applyFont="1" applyFill="1"/>
    <xf numFmtId="3" fontId="22" fillId="33" borderId="0" xfId="1" applyNumberFormat="1" applyFont="1" applyFill="1"/>
    <xf numFmtId="3" fontId="22" fillId="33" borderId="10" xfId="0" applyNumberFormat="1" applyFont="1" applyFill="1" applyBorder="1"/>
    <xf numFmtId="3" fontId="22" fillId="33" borderId="10" xfId="1" applyNumberFormat="1" applyFont="1" applyFill="1" applyBorder="1"/>
    <xf numFmtId="3" fontId="21" fillId="33" borderId="0" xfId="0" applyNumberFormat="1" applyFont="1" applyFill="1"/>
    <xf numFmtId="3" fontId="21" fillId="33" borderId="0" xfId="1" applyNumberFormat="1" applyFont="1" applyFill="1"/>
    <xf numFmtId="3" fontId="20" fillId="0" borderId="0" xfId="1" applyNumberFormat="1" applyFont="1" applyAlignment="1">
      <alignment horizontal="right"/>
    </xf>
    <xf numFmtId="3" fontId="20" fillId="33" borderId="0" xfId="1" applyNumberFormat="1" applyFont="1" applyFill="1" applyAlignment="1">
      <alignment horizontal="right"/>
    </xf>
    <xf numFmtId="3" fontId="20" fillId="0" borderId="0" xfId="1" applyNumberFormat="1" applyFont="1"/>
    <xf numFmtId="3" fontId="21" fillId="33" borderId="12" xfId="0" applyNumberFormat="1" applyFont="1" applyFill="1" applyBorder="1"/>
    <xf numFmtId="3" fontId="22" fillId="0" borderId="0" xfId="0" applyNumberFormat="1" applyFont="1"/>
    <xf numFmtId="3" fontId="21" fillId="0" borderId="11" xfId="0" applyNumberFormat="1" applyFont="1" applyBorder="1"/>
    <xf numFmtId="3" fontId="21" fillId="0" borderId="0" xfId="0" applyNumberFormat="1" applyFont="1"/>
    <xf numFmtId="0" fontId="21" fillId="0" borderId="0" xfId="0" applyFont="1" applyAlignment="1">
      <alignment horizontal="center" vertical="top"/>
    </xf>
    <xf numFmtId="3" fontId="22" fillId="0" borderId="0" xfId="0" applyNumberFormat="1" applyFont="1" applyFill="1"/>
    <xf numFmtId="3" fontId="21" fillId="0" borderId="0" xfId="0" applyNumberFormat="1" applyFont="1" applyFill="1"/>
    <xf numFmtId="3" fontId="20" fillId="0" borderId="0" xfId="1" applyNumberFormat="1" applyFont="1" applyFill="1" applyAlignment="1">
      <alignment horizontal="right"/>
    </xf>
    <xf numFmtId="3" fontId="0" fillId="0" borderId="0" xfId="0" applyNumberFormat="1"/>
    <xf numFmtId="3" fontId="22" fillId="0" borderId="0" xfId="0" applyNumberFormat="1" applyFont="1" applyFill="1" applyBorder="1"/>
    <xf numFmtId="3" fontId="22" fillId="33" borderId="0" xfId="0" applyNumberFormat="1" applyFont="1" applyFill="1" applyBorder="1"/>
    <xf numFmtId="3" fontId="22" fillId="33" borderId="0" xfId="1" applyNumberFormat="1" applyFont="1" applyFill="1" applyBorder="1"/>
    <xf numFmtId="164" fontId="0" fillId="0" borderId="0" xfId="1" applyFont="1" applyFill="1"/>
    <xf numFmtId="165" fontId="21" fillId="0" borderId="0" xfId="1" applyNumberFormat="1" applyFont="1" applyFill="1"/>
    <xf numFmtId="164" fontId="21" fillId="0" borderId="0" xfId="1" applyFont="1" applyFill="1"/>
    <xf numFmtId="3" fontId="0" fillId="33" borderId="0" xfId="0" applyNumberFormat="1" applyFill="1"/>
    <xf numFmtId="165" fontId="18" fillId="33" borderId="0" xfId="0" applyNumberFormat="1" applyFont="1" applyFill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top"/>
    </xf>
    <xf numFmtId="3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/>
    <xf numFmtId="164" fontId="22" fillId="33" borderId="0" xfId="1" applyFont="1" applyFill="1" applyAlignment="1">
      <alignment horizontal="center"/>
    </xf>
    <xf numFmtId="164" fontId="18" fillId="33" borderId="0" xfId="1" applyFont="1" applyFill="1" applyAlignment="1">
      <alignment horizontal="center"/>
    </xf>
    <xf numFmtId="164" fontId="19" fillId="33" borderId="0" xfId="1" applyFont="1" applyFill="1" applyAlignment="1">
      <alignment horizontal="center"/>
    </xf>
    <xf numFmtId="164" fontId="21" fillId="0" borderId="0" xfId="1" applyFont="1" applyBorder="1"/>
    <xf numFmtId="164" fontId="21" fillId="33" borderId="0" xfId="1" applyFont="1" applyFill="1" applyAlignment="1">
      <alignment horizontal="center"/>
    </xf>
    <xf numFmtId="164" fontId="22" fillId="36" borderId="0" xfId="1" applyFont="1" applyFill="1" applyAlignment="1">
      <alignment horizontal="center"/>
    </xf>
    <xf numFmtId="164" fontId="21" fillId="36" borderId="0" xfId="1" applyFont="1" applyFill="1" applyAlignment="1">
      <alignment horizontal="center"/>
    </xf>
    <xf numFmtId="164" fontId="16" fillId="36" borderId="0" xfId="1" applyFont="1" applyFill="1"/>
    <xf numFmtId="164" fontId="16" fillId="37" borderId="0" xfId="1" applyFont="1" applyFill="1"/>
    <xf numFmtId="164" fontId="0" fillId="37" borderId="0" xfId="0" applyNumberFormat="1" applyFill="1"/>
    <xf numFmtId="165" fontId="21" fillId="33" borderId="0" xfId="1" applyNumberFormat="1" applyFont="1" applyFill="1"/>
    <xf numFmtId="3" fontId="21" fillId="33" borderId="0" xfId="0" applyNumberFormat="1" applyFont="1" applyFill="1" applyBorder="1" applyAlignment="1">
      <alignment horizontal="center" wrapText="1"/>
    </xf>
    <xf numFmtId="165" fontId="18" fillId="33" borderId="0" xfId="0" applyNumberFormat="1" applyFont="1" applyFill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top"/>
    </xf>
    <xf numFmtId="165" fontId="18" fillId="33" borderId="0" xfId="0" applyNumberFormat="1" applyFont="1" applyFill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top"/>
    </xf>
    <xf numFmtId="165" fontId="21" fillId="0" borderId="11" xfId="1" applyNumberFormat="1" applyFont="1" applyBorder="1"/>
    <xf numFmtId="164" fontId="22" fillId="0" borderId="0" xfId="0" applyNumberFormat="1" applyFont="1"/>
    <xf numFmtId="0" fontId="22" fillId="0" borderId="10" xfId="0" applyFont="1" applyBorder="1"/>
    <xf numFmtId="165" fontId="18" fillId="33" borderId="0" xfId="0" applyNumberFormat="1" applyFont="1" applyFill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0" fontId="20" fillId="0" borderId="0" xfId="44" applyFont="1"/>
    <xf numFmtId="0" fontId="20" fillId="33" borderId="0" xfId="44" applyFont="1" applyFill="1"/>
    <xf numFmtId="0" fontId="26" fillId="0" borderId="0" xfId="44" applyFont="1"/>
    <xf numFmtId="0" fontId="26" fillId="0" borderId="0" xfId="44" applyFont="1" applyBorder="1"/>
    <xf numFmtId="166" fontId="20" fillId="0" borderId="0" xfId="45" applyFont="1"/>
    <xf numFmtId="167" fontId="20" fillId="0" borderId="0" xfId="45" applyNumberFormat="1" applyFont="1"/>
    <xf numFmtId="0" fontId="20" fillId="0" borderId="0" xfId="44" applyFont="1" applyBorder="1"/>
    <xf numFmtId="3" fontId="27" fillId="0" borderId="0" xfId="44" applyNumberFormat="1" applyFont="1"/>
    <xf numFmtId="2" fontId="19" fillId="0" borderId="0" xfId="44" applyNumberFormat="1" applyFont="1" applyAlignment="1">
      <alignment horizontal="left"/>
    </xf>
    <xf numFmtId="166" fontId="19" fillId="0" borderId="0" xfId="45" applyFont="1" applyAlignment="1">
      <alignment horizontal="left"/>
    </xf>
    <xf numFmtId="167" fontId="19" fillId="0" borderId="0" xfId="45" applyNumberFormat="1" applyFont="1" applyAlignment="1">
      <alignment horizontal="left"/>
    </xf>
    <xf numFmtId="0" fontId="19" fillId="0" borderId="0" xfId="44" applyFont="1" applyAlignment="1">
      <alignment horizontal="left"/>
    </xf>
    <xf numFmtId="0" fontId="19" fillId="33" borderId="0" xfId="44" applyFont="1" applyFill="1"/>
    <xf numFmtId="0" fontId="19" fillId="0" borderId="0" xfId="44" applyFont="1"/>
    <xf numFmtId="14" fontId="28" fillId="0" borderId="0" xfId="44" applyNumberFormat="1" applyFont="1" applyFill="1" applyAlignment="1">
      <alignment horizontal="center"/>
    </xf>
    <xf numFmtId="14" fontId="28" fillId="0" borderId="0" xfId="44" applyNumberFormat="1" applyFont="1" applyFill="1" applyBorder="1" applyAlignment="1">
      <alignment horizontal="center"/>
    </xf>
    <xf numFmtId="0" fontId="27" fillId="0" borderId="0" xfId="45" applyNumberFormat="1" applyFont="1" applyAlignment="1">
      <alignment horizontal="center"/>
    </xf>
    <xf numFmtId="0" fontId="29" fillId="0" borderId="0" xfId="44" applyFont="1" applyAlignment="1">
      <alignment horizontal="left"/>
    </xf>
    <xf numFmtId="0" fontId="27" fillId="0" borderId="0" xfId="44" applyFont="1"/>
    <xf numFmtId="0" fontId="27" fillId="33" borderId="0" xfId="44" applyFont="1" applyFill="1"/>
    <xf numFmtId="0" fontId="27" fillId="0" borderId="0" xfId="44" applyFont="1" applyFill="1"/>
    <xf numFmtId="0" fontId="27" fillId="0" borderId="0" xfId="44" applyFont="1" applyFill="1" applyBorder="1"/>
    <xf numFmtId="0" fontId="27" fillId="0" borderId="0" xfId="44" applyFont="1" applyAlignment="1">
      <alignment horizontal="center"/>
    </xf>
    <xf numFmtId="167" fontId="27" fillId="0" borderId="0" xfId="45" applyNumberFormat="1" applyFont="1"/>
    <xf numFmtId="37" fontId="27" fillId="33" borderId="0" xfId="45" applyNumberFormat="1" applyFont="1" applyFill="1" applyAlignment="1">
      <alignment horizontal="right"/>
    </xf>
    <xf numFmtId="37" fontId="27" fillId="0" borderId="0" xfId="45" applyNumberFormat="1" applyFont="1" applyFill="1" applyAlignment="1">
      <alignment horizontal="right"/>
    </xf>
    <xf numFmtId="37" fontId="27" fillId="0" borderId="0" xfId="45" applyNumberFormat="1" applyFont="1" applyFill="1" applyBorder="1" applyAlignment="1">
      <alignment horizontal="right"/>
    </xf>
    <xf numFmtId="9" fontId="27" fillId="0" borderId="0" xfId="46" applyFont="1" applyFill="1" applyAlignment="1">
      <alignment horizontal="center"/>
    </xf>
    <xf numFmtId="167" fontId="27" fillId="0" borderId="0" xfId="45" applyNumberFormat="1" applyFont="1" applyBorder="1" applyAlignment="1">
      <alignment horizontal="right"/>
    </xf>
    <xf numFmtId="166" fontId="27" fillId="0" borderId="0" xfId="45" applyFont="1" applyFill="1"/>
    <xf numFmtId="164" fontId="27" fillId="0" borderId="0" xfId="45" applyNumberFormat="1" applyFont="1"/>
    <xf numFmtId="166" fontId="27" fillId="0" borderId="0" xfId="45" applyFont="1" applyAlignment="1">
      <alignment horizontal="right"/>
    </xf>
    <xf numFmtId="166" fontId="27" fillId="0" borderId="0" xfId="45" applyFont="1" applyFill="1" applyBorder="1" applyAlignment="1">
      <alignment horizontal="right"/>
    </xf>
    <xf numFmtId="37" fontId="27" fillId="33" borderId="10" xfId="45" applyNumberFormat="1" applyFont="1" applyFill="1" applyBorder="1" applyAlignment="1">
      <alignment horizontal="right"/>
    </xf>
    <xf numFmtId="37" fontId="27" fillId="0" borderId="10" xfId="45" applyNumberFormat="1" applyFont="1" applyFill="1" applyBorder="1" applyAlignment="1">
      <alignment horizontal="right"/>
    </xf>
    <xf numFmtId="37" fontId="30" fillId="33" borderId="0" xfId="45" applyNumberFormat="1" applyFont="1" applyFill="1" applyAlignment="1">
      <alignment horizontal="right"/>
    </xf>
    <xf numFmtId="0" fontId="18" fillId="0" borderId="0" xfId="44" applyFont="1" applyAlignment="1">
      <alignment horizontal="center"/>
    </xf>
    <xf numFmtId="37" fontId="18" fillId="33" borderId="11" xfId="45" applyNumberFormat="1" applyFont="1" applyFill="1" applyBorder="1" applyAlignment="1">
      <alignment horizontal="right"/>
    </xf>
    <xf numFmtId="37" fontId="18" fillId="0" borderId="11" xfId="45" applyNumberFormat="1" applyFont="1" applyFill="1" applyBorder="1" applyAlignment="1">
      <alignment horizontal="right"/>
    </xf>
    <xf numFmtId="37" fontId="18" fillId="0" borderId="0" xfId="45" applyNumberFormat="1" applyFont="1" applyFill="1" applyBorder="1" applyAlignment="1">
      <alignment horizontal="right"/>
    </xf>
    <xf numFmtId="166" fontId="27" fillId="0" borderId="0" xfId="45" applyFont="1"/>
    <xf numFmtId="37" fontId="27" fillId="33" borderId="0" xfId="44" applyNumberFormat="1" applyFont="1" applyFill="1" applyAlignment="1">
      <alignment horizontal="right"/>
    </xf>
    <xf numFmtId="37" fontId="27" fillId="0" borderId="0" xfId="44" applyNumberFormat="1" applyFont="1" applyFill="1" applyAlignment="1">
      <alignment horizontal="right"/>
    </xf>
    <xf numFmtId="37" fontId="27" fillId="0" borderId="0" xfId="44" applyNumberFormat="1" applyFont="1" applyFill="1" applyBorder="1" applyAlignment="1">
      <alignment horizontal="right"/>
    </xf>
    <xf numFmtId="164" fontId="27" fillId="0" borderId="0" xfId="44" applyNumberFormat="1" applyFont="1"/>
    <xf numFmtId="0" fontId="18" fillId="0" borderId="0" xfId="44" applyFont="1" applyAlignment="1">
      <alignment horizontal="left"/>
    </xf>
    <xf numFmtId="37" fontId="18" fillId="33" borderId="12" xfId="45" applyNumberFormat="1" applyFont="1" applyFill="1" applyBorder="1" applyAlignment="1">
      <alignment horizontal="right"/>
    </xf>
    <xf numFmtId="37" fontId="18" fillId="0" borderId="12" xfId="45" applyNumberFormat="1" applyFont="1" applyFill="1" applyBorder="1" applyAlignment="1">
      <alignment horizontal="right"/>
    </xf>
    <xf numFmtId="0" fontId="18" fillId="0" borderId="0" xfId="44" applyFont="1"/>
    <xf numFmtId="37" fontId="18" fillId="33" borderId="0" xfId="45" applyNumberFormat="1" applyFont="1" applyFill="1" applyBorder="1" applyAlignment="1">
      <alignment horizontal="right"/>
    </xf>
    <xf numFmtId="37" fontId="27" fillId="0" borderId="0" xfId="45" applyNumberFormat="1" applyFont="1" applyBorder="1" applyAlignment="1">
      <alignment horizontal="right"/>
    </xf>
    <xf numFmtId="165" fontId="27" fillId="0" borderId="0" xfId="47" applyNumberFormat="1" applyFont="1" applyFill="1"/>
    <xf numFmtId="165" fontId="27" fillId="33" borderId="0" xfId="47" applyNumberFormat="1" applyFont="1" applyFill="1"/>
    <xf numFmtId="165" fontId="27" fillId="0" borderId="0" xfId="47" applyNumberFormat="1" applyFont="1" applyFill="1" applyBorder="1"/>
    <xf numFmtId="37" fontId="18" fillId="33" borderId="14" xfId="45" applyNumberFormat="1" applyFont="1" applyFill="1" applyBorder="1" applyAlignment="1">
      <alignment horizontal="right"/>
    </xf>
    <xf numFmtId="37" fontId="18" fillId="0" borderId="14" xfId="45" applyNumberFormat="1" applyFont="1" applyFill="1" applyBorder="1" applyAlignment="1">
      <alignment horizontal="right"/>
    </xf>
    <xf numFmtId="37" fontId="27" fillId="33" borderId="0" xfId="44" applyNumberFormat="1" applyFont="1" applyFill="1"/>
    <xf numFmtId="37" fontId="27" fillId="0" borderId="0" xfId="44" applyNumberFormat="1" applyFont="1"/>
    <xf numFmtId="37" fontId="27" fillId="0" borderId="0" xfId="44" applyNumberFormat="1" applyFont="1" applyFill="1"/>
    <xf numFmtId="37" fontId="27" fillId="0" borderId="0" xfId="44" applyNumberFormat="1" applyFont="1" applyFill="1" applyBorder="1"/>
    <xf numFmtId="0" fontId="27" fillId="0" borderId="0" xfId="44" applyFont="1" applyBorder="1"/>
    <xf numFmtId="17" fontId="29" fillId="0" borderId="0" xfId="44" applyNumberFormat="1" applyFont="1"/>
    <xf numFmtId="166" fontId="27" fillId="33" borderId="0" xfId="45" applyFont="1" applyFill="1"/>
    <xf numFmtId="167" fontId="27" fillId="0" borderId="0" xfId="45" applyNumberFormat="1" applyFont="1" applyFill="1"/>
    <xf numFmtId="167" fontId="27" fillId="0" borderId="0" xfId="45" applyNumberFormat="1" applyFont="1" applyFill="1" applyBorder="1"/>
    <xf numFmtId="37" fontId="27" fillId="0" borderId="0" xfId="45" applyNumberFormat="1" applyFont="1" applyAlignment="1">
      <alignment horizontal="right"/>
    </xf>
    <xf numFmtId="0" fontId="19" fillId="0" borderId="0" xfId="44" applyFont="1" applyAlignment="1">
      <alignment horizontal="center"/>
    </xf>
    <xf numFmtId="0" fontId="20" fillId="0" borderId="0" xfId="44" applyFont="1" applyAlignment="1">
      <alignment horizontal="center"/>
    </xf>
    <xf numFmtId="165" fontId="27" fillId="0" borderId="0" xfId="1" applyNumberFormat="1" applyFont="1" applyFill="1" applyAlignment="1">
      <alignment horizontal="right"/>
    </xf>
    <xf numFmtId="165" fontId="27" fillId="0" borderId="0" xfId="1" applyNumberFormat="1" applyFont="1"/>
    <xf numFmtId="165" fontId="27" fillId="0" borderId="10" xfId="1" applyNumberFormat="1" applyFont="1" applyFill="1" applyBorder="1" applyAlignment="1">
      <alignment horizontal="right"/>
    </xf>
    <xf numFmtId="165" fontId="18" fillId="0" borderId="11" xfId="1" applyNumberFormat="1" applyFont="1" applyFill="1" applyBorder="1" applyAlignment="1">
      <alignment horizontal="right"/>
    </xf>
    <xf numFmtId="165" fontId="18" fillId="0" borderId="12" xfId="1" applyNumberFormat="1" applyFont="1" applyFill="1" applyBorder="1" applyAlignment="1">
      <alignment horizontal="right"/>
    </xf>
    <xf numFmtId="165" fontId="18" fillId="0" borderId="14" xfId="1" applyNumberFormat="1" applyFont="1" applyFill="1" applyBorder="1" applyAlignment="1">
      <alignment horizontal="right"/>
    </xf>
    <xf numFmtId="0" fontId="18" fillId="0" borderId="0" xfId="0" applyFont="1"/>
    <xf numFmtId="0" fontId="31" fillId="0" borderId="0" xfId="0" applyFont="1"/>
    <xf numFmtId="0" fontId="32" fillId="0" borderId="0" xfId="0" applyFont="1"/>
    <xf numFmtId="0" fontId="33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33" borderId="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3" fontId="33" fillId="0" borderId="0" xfId="0" applyNumberFormat="1" applyFont="1" applyBorder="1" applyAlignment="1">
      <alignment horizontal="center" wrapText="1"/>
    </xf>
    <xf numFmtId="3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/>
    <xf numFmtId="3" fontId="33" fillId="33" borderId="0" xfId="0" applyNumberFormat="1" applyFont="1" applyFill="1" applyBorder="1" applyAlignment="1">
      <alignment horizontal="center" wrapText="1"/>
    </xf>
    <xf numFmtId="165" fontId="31" fillId="33" borderId="0" xfId="1" applyNumberFormat="1" applyFont="1" applyFill="1"/>
    <xf numFmtId="3" fontId="31" fillId="33" borderId="0" xfId="0" applyNumberFormat="1" applyFont="1" applyFill="1"/>
    <xf numFmtId="3" fontId="31" fillId="33" borderId="0" xfId="1" applyNumberFormat="1" applyFont="1" applyFill="1"/>
    <xf numFmtId="164" fontId="31" fillId="33" borderId="0" xfId="0" applyNumberFormat="1" applyFont="1" applyFill="1"/>
    <xf numFmtId="9" fontId="31" fillId="33" borderId="0" xfId="2" applyFont="1" applyFill="1" applyAlignment="1">
      <alignment horizontal="center"/>
    </xf>
    <xf numFmtId="165" fontId="31" fillId="33" borderId="10" xfId="1" applyNumberFormat="1" applyFont="1" applyFill="1" applyBorder="1"/>
    <xf numFmtId="165" fontId="31" fillId="33" borderId="0" xfId="0" applyNumberFormat="1" applyFont="1" applyFill="1"/>
    <xf numFmtId="164" fontId="31" fillId="33" borderId="0" xfId="1" applyFont="1" applyFill="1" applyAlignment="1">
      <alignment horizontal="center"/>
    </xf>
    <xf numFmtId="165" fontId="33" fillId="33" borderId="0" xfId="1" applyNumberFormat="1" applyFont="1" applyFill="1"/>
    <xf numFmtId="164" fontId="33" fillId="33" borderId="0" xfId="1" applyFont="1" applyFill="1"/>
    <xf numFmtId="165" fontId="33" fillId="0" borderId="0" xfId="1" applyNumberFormat="1" applyFont="1" applyFill="1"/>
    <xf numFmtId="9" fontId="33" fillId="33" borderId="0" xfId="2" applyFont="1" applyFill="1" applyAlignment="1">
      <alignment horizontal="center"/>
    </xf>
    <xf numFmtId="164" fontId="33" fillId="33" borderId="0" xfId="1" applyFont="1" applyFill="1" applyAlignment="1">
      <alignment horizontal="center"/>
    </xf>
    <xf numFmtId="3" fontId="31" fillId="0" borderId="0" xfId="0" applyNumberFormat="1" applyFont="1" applyFill="1"/>
    <xf numFmtId="165" fontId="31" fillId="0" borderId="0" xfId="1" applyNumberFormat="1" applyFont="1" applyFill="1"/>
    <xf numFmtId="165" fontId="31" fillId="33" borderId="0" xfId="1" applyNumberFormat="1" applyFont="1" applyFill="1" applyBorder="1"/>
    <xf numFmtId="164" fontId="31" fillId="33" borderId="10" xfId="1" applyFont="1" applyFill="1" applyBorder="1"/>
    <xf numFmtId="3" fontId="33" fillId="33" borderId="13" xfId="0" applyNumberFormat="1" applyFont="1" applyFill="1" applyBorder="1"/>
    <xf numFmtId="3" fontId="33" fillId="33" borderId="0" xfId="0" applyNumberFormat="1" applyFont="1" applyFill="1"/>
    <xf numFmtId="3" fontId="33" fillId="33" borderId="0" xfId="1" applyNumberFormat="1" applyFont="1" applyFill="1"/>
    <xf numFmtId="165" fontId="33" fillId="33" borderId="13" xfId="1" applyNumberFormat="1" applyFont="1" applyFill="1" applyBorder="1"/>
    <xf numFmtId="0" fontId="31" fillId="33" borderId="0" xfId="0" applyFont="1" applyFill="1"/>
    <xf numFmtId="3" fontId="33" fillId="33" borderId="0" xfId="0" applyNumberFormat="1" applyFont="1" applyFill="1" applyBorder="1"/>
    <xf numFmtId="3" fontId="33" fillId="33" borderId="0" xfId="1" applyNumberFormat="1" applyFont="1" applyFill="1" applyBorder="1"/>
    <xf numFmtId="3" fontId="31" fillId="0" borderId="0" xfId="0" applyNumberFormat="1" applyFont="1"/>
    <xf numFmtId="43" fontId="31" fillId="0" borderId="0" xfId="0" applyNumberFormat="1" applyFont="1"/>
    <xf numFmtId="3" fontId="33" fillId="0" borderId="11" xfId="0" applyNumberFormat="1" applyFont="1" applyBorder="1"/>
    <xf numFmtId="3" fontId="33" fillId="0" borderId="0" xfId="0" applyNumberFormat="1" applyFont="1"/>
    <xf numFmtId="165" fontId="33" fillId="0" borderId="11" xfId="1" applyNumberFormat="1" applyFont="1" applyBorder="1"/>
    <xf numFmtId="164" fontId="31" fillId="0" borderId="0" xfId="0" applyNumberFormat="1" applyFont="1"/>
    <xf numFmtId="0" fontId="31" fillId="0" borderId="10" xfId="0" applyFont="1" applyBorder="1"/>
    <xf numFmtId="0" fontId="33" fillId="0" borderId="0" xfId="0" applyFont="1" applyAlignment="1">
      <alignment horizontal="center" vertical="top"/>
    </xf>
    <xf numFmtId="0" fontId="27" fillId="0" borderId="10" xfId="44" applyFont="1" applyBorder="1"/>
    <xf numFmtId="0" fontId="0" fillId="0" borderId="0" xfId="0" quotePrefix="1"/>
    <xf numFmtId="0" fontId="34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0" borderId="18" xfId="44" applyFont="1" applyBorder="1" applyAlignment="1">
      <alignment horizontal="center"/>
    </xf>
    <xf numFmtId="37" fontId="18" fillId="33" borderId="19" xfId="45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center"/>
    </xf>
    <xf numFmtId="37" fontId="18" fillId="33" borderId="21" xfId="45" applyNumberFormat="1" applyFont="1" applyFill="1" applyBorder="1" applyAlignment="1">
      <alignment horizontal="right"/>
    </xf>
    <xf numFmtId="164" fontId="27" fillId="33" borderId="0" xfId="1" applyFont="1" applyFill="1" applyAlignment="1">
      <alignment horizontal="right"/>
    </xf>
    <xf numFmtId="165" fontId="18" fillId="33" borderId="0" xfId="0" applyNumberFormat="1" applyFont="1" applyFill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21" fillId="0" borderId="0" xfId="0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3" fillId="0" borderId="0" xfId="0" applyFont="1" applyAlignment="1">
      <alignment horizontal="center" vertical="top"/>
    </xf>
    <xf numFmtId="0" fontId="19" fillId="0" borderId="0" xfId="44" applyFont="1" applyFill="1" applyAlignment="1">
      <alignment horizontal="center"/>
    </xf>
    <xf numFmtId="0" fontId="19" fillId="0" borderId="0" xfId="44" applyFont="1" applyAlignment="1">
      <alignment horizontal="center"/>
    </xf>
    <xf numFmtId="0" fontId="28" fillId="0" borderId="0" xfId="44" applyFont="1" applyAlignment="1">
      <alignment horizontal="center"/>
    </xf>
    <xf numFmtId="164" fontId="31" fillId="0" borderId="10" xfId="1" applyFont="1" applyBorder="1" applyAlignment="1">
      <alignment horizontal="center"/>
    </xf>
  </cellXfs>
  <cellStyles count="48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Comma_Flujo de Efectivo AFI Mazo 2010 para SIV" xfId="47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5"/>
    <cellStyle name="Neutral" xfId="10" builtinId="28" customBuiltin="1"/>
    <cellStyle name="Normal" xfId="0" builtinId="0"/>
    <cellStyle name="Normal 2" xfId="44"/>
    <cellStyle name="Notas" xfId="17" builtinId="10" customBuiltin="1"/>
    <cellStyle name="Porcentaje" xfId="2" builtinId="5"/>
    <cellStyle name="Porcentaje 2" xfId="46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666750</xdr:colOff>
      <xdr:row>2</xdr:row>
      <xdr:rowOff>276226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142875" y="57150"/>
          <a:ext cx="1504950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1</xdr:col>
      <xdr:colOff>1562100</xdr:colOff>
      <xdr:row>4</xdr:row>
      <xdr:rowOff>28575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600200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112058</xdr:rowOff>
    </xdr:from>
    <xdr:to>
      <xdr:col>1</xdr:col>
      <xdr:colOff>1656229</xdr:colOff>
      <xdr:row>2</xdr:row>
      <xdr:rowOff>512108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29" y="112058"/>
          <a:ext cx="160020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666750</xdr:colOff>
      <xdr:row>2</xdr:row>
      <xdr:rowOff>276226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142875" y="57150"/>
          <a:ext cx="1504950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9525</xdr:rowOff>
    </xdr:from>
    <xdr:to>
      <xdr:col>1</xdr:col>
      <xdr:colOff>1381124</xdr:colOff>
      <xdr:row>2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533399" y="9525"/>
          <a:ext cx="1609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9525</xdr:rowOff>
    </xdr:from>
    <xdr:to>
      <xdr:col>1</xdr:col>
      <xdr:colOff>1381124</xdr:colOff>
      <xdr:row>2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533399" y="9525"/>
          <a:ext cx="1609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9525</xdr:rowOff>
    </xdr:from>
    <xdr:to>
      <xdr:col>1</xdr:col>
      <xdr:colOff>1381124</xdr:colOff>
      <xdr:row>2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533399" y="9525"/>
          <a:ext cx="1609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9525</xdr:rowOff>
    </xdr:from>
    <xdr:to>
      <xdr:col>1</xdr:col>
      <xdr:colOff>1381124</xdr:colOff>
      <xdr:row>2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533399" y="9525"/>
          <a:ext cx="1609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9525</xdr:rowOff>
    </xdr:from>
    <xdr:to>
      <xdr:col>1</xdr:col>
      <xdr:colOff>1381124</xdr:colOff>
      <xdr:row>2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533399" y="9525"/>
          <a:ext cx="1609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667869</xdr:colOff>
      <xdr:row>0</xdr:row>
      <xdr:rowOff>9525</xdr:rowOff>
    </xdr:from>
    <xdr:to>
      <xdr:col>1</xdr:col>
      <xdr:colOff>1515594</xdr:colOff>
      <xdr:row>2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667869" y="9525"/>
          <a:ext cx="1609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667869</xdr:colOff>
      <xdr:row>0</xdr:row>
      <xdr:rowOff>9525</xdr:rowOff>
    </xdr:from>
    <xdr:to>
      <xdr:col>1</xdr:col>
      <xdr:colOff>1515594</xdr:colOff>
      <xdr:row>2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3"/>
        <a:stretch>
          <a:fillRect/>
        </a:stretch>
      </xdr:blipFill>
      <xdr:spPr bwMode="auto">
        <a:xfrm>
          <a:off x="667869" y="9525"/>
          <a:ext cx="1609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CEL%20FONDOS\Reporte%20financiero%20mensual%20SAFI\Resultado%20Mensual%20SAF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os%20Bianca\SAFI\Informes%20internos\Resultado%20Mensual%20SAF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perez/Desktop/REMISIONES/Remision%20Informacion%20SAFFI/SAFI%20JUNIO%202016-Semestral/DIC%202016/Estados%20Financieros%20SAFI%20junio%202015-juni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ivot"/>
      <sheetName val="Estados"/>
      <sheetName val="GGADM"/>
      <sheetName val="Balanza de comprobación"/>
      <sheetName val="Catálogo"/>
      <sheetName val="Sheet5"/>
    </sheetNames>
    <sheetDataSet>
      <sheetData sheetId="0"/>
      <sheetData sheetId="1"/>
      <sheetData sheetId="2">
        <row r="76">
          <cell r="AF76">
            <v>2588921.59</v>
          </cell>
          <cell r="AG76">
            <v>2785906.0700000003</v>
          </cell>
        </row>
        <row r="85">
          <cell r="AF85">
            <v>89557.06</v>
          </cell>
        </row>
        <row r="90">
          <cell r="AF90">
            <v>5544668.6299999999</v>
          </cell>
        </row>
        <row r="101">
          <cell r="AF101">
            <v>552843.78</v>
          </cell>
        </row>
        <row r="118">
          <cell r="AF118">
            <v>6253094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ivot"/>
      <sheetName val="Estados"/>
      <sheetName val="GGADM"/>
      <sheetName val="Balanza de comprobación"/>
      <sheetName val="Hoja3"/>
      <sheetName val="Gastos ejecutados vs presupuest"/>
      <sheetName val="Resumen ejecución gastos"/>
      <sheetName val="Detalle gastos x rubro"/>
      <sheetName val="REVISION BALANZA JUNIO 2017"/>
      <sheetName val="Catálogo"/>
      <sheetName val="Sheet5"/>
    </sheetNames>
    <sheetDataSet>
      <sheetData sheetId="0">
        <row r="25">
          <cell r="AX25">
            <v>268967.78000000003</v>
          </cell>
        </row>
      </sheetData>
      <sheetData sheetId="1">
        <row r="3">
          <cell r="A3" t="str">
            <v>Etiquetas de fila</v>
          </cell>
        </row>
      </sheetData>
      <sheetData sheetId="2">
        <row r="9">
          <cell r="AS9">
            <v>369221.57000000007</v>
          </cell>
        </row>
        <row r="86">
          <cell r="AJ86">
            <v>134035.60999999999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Flujo de Efectivo"/>
      <sheetName val="Estado de Resultados"/>
      <sheetName val="Cambios en el Patrimonio "/>
      <sheetName val="Notas"/>
      <sheetName val="Nota Instrumento (14)"/>
    </sheetNames>
    <sheetDataSet>
      <sheetData sheetId="0"/>
      <sheetData sheetId="1"/>
      <sheetData sheetId="2">
        <row r="25">
          <cell r="E25">
            <v>-1400330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6"/>
  <sheetViews>
    <sheetView showGridLines="0" topLeftCell="B17" workbookViewId="0">
      <selection activeCell="B27" activeCellId="1" sqref="A26:G27 B27"/>
    </sheetView>
  </sheetViews>
  <sheetFormatPr baseColWidth="10" defaultRowHeight="15" x14ac:dyDescent="0.25"/>
  <cols>
    <col min="1" max="1" width="14.7109375" bestFit="1" customWidth="1"/>
    <col min="2" max="2" width="14.7109375" customWidth="1"/>
    <col min="3" max="3" width="60.85546875" bestFit="1" customWidth="1"/>
    <col min="4" max="4" width="5.85546875" customWidth="1"/>
    <col min="5" max="5" width="14.42578125" customWidth="1"/>
    <col min="6" max="6" width="32.42578125" style="4" customWidth="1"/>
    <col min="7" max="7" width="13.5703125" customWidth="1"/>
    <col min="8" max="8" width="14.5703125" customWidth="1"/>
  </cols>
  <sheetData>
    <row r="3" spans="1:8" ht="33.75" customHeight="1" x14ac:dyDescent="0.25">
      <c r="A3" s="236" t="s">
        <v>63</v>
      </c>
      <c r="B3" s="236"/>
      <c r="C3" s="236"/>
      <c r="D3" s="236"/>
      <c r="E3" s="236"/>
      <c r="F3" s="236"/>
      <c r="G3" s="236"/>
      <c r="H3" s="236"/>
    </row>
    <row r="4" spans="1:8" x14ac:dyDescent="0.25">
      <c r="A4" s="237" t="s">
        <v>65</v>
      </c>
      <c r="B4" s="237"/>
      <c r="C4" s="237"/>
      <c r="D4" s="237"/>
      <c r="E4" s="237"/>
      <c r="F4" s="237"/>
      <c r="G4" s="237"/>
      <c r="H4" s="237"/>
    </row>
    <row r="5" spans="1:8" x14ac:dyDescent="0.25">
      <c r="A5" s="237" t="s">
        <v>66</v>
      </c>
      <c r="B5" s="237"/>
      <c r="C5" s="237"/>
      <c r="D5" s="237"/>
      <c r="E5" s="237"/>
      <c r="F5" s="237"/>
      <c r="G5" s="237"/>
      <c r="H5" s="237"/>
    </row>
    <row r="6" spans="1:8" x14ac:dyDescent="0.25">
      <c r="A6" s="237" t="s">
        <v>64</v>
      </c>
      <c r="B6" s="237"/>
      <c r="C6" s="237"/>
      <c r="D6" s="237"/>
      <c r="E6" s="237"/>
      <c r="F6" s="237"/>
      <c r="G6" s="237"/>
      <c r="H6" s="237"/>
    </row>
    <row r="7" spans="1:8" ht="21.75" customHeight="1" x14ac:dyDescent="0.25">
      <c r="A7" s="6"/>
      <c r="B7" s="6"/>
      <c r="C7" s="6"/>
      <c r="D7" s="6"/>
      <c r="E7" s="6"/>
      <c r="F7" s="6"/>
      <c r="G7" s="6"/>
      <c r="H7" s="6"/>
    </row>
    <row r="8" spans="1:8" s="11" customFormat="1" ht="28.5" customHeight="1" x14ac:dyDescent="0.2">
      <c r="A8" s="7" t="s">
        <v>138</v>
      </c>
      <c r="B8" s="7" t="s">
        <v>144</v>
      </c>
      <c r="C8" s="8" t="s">
        <v>139</v>
      </c>
      <c r="D8" s="8"/>
      <c r="E8" s="7" t="s">
        <v>140</v>
      </c>
      <c r="F8" s="9" t="s">
        <v>141</v>
      </c>
      <c r="G8" s="8" t="s">
        <v>142</v>
      </c>
      <c r="H8" s="10" t="s">
        <v>143</v>
      </c>
    </row>
    <row r="9" spans="1:8" x14ac:dyDescent="0.25">
      <c r="A9">
        <v>4</v>
      </c>
      <c r="B9">
        <f>LEN(A9)</f>
        <v>1</v>
      </c>
      <c r="C9" t="s">
        <v>67</v>
      </c>
      <c r="E9" s="1">
        <v>6450664.7800000003</v>
      </c>
      <c r="F9" s="5">
        <f>VLOOKUP(A9,'Estado de resultados mayo'!$A$4:$C$69,3,FALSE)</f>
        <v>4780290.4800000004</v>
      </c>
      <c r="G9" s="2">
        <f>E9-F9</f>
        <v>1670374.2999999998</v>
      </c>
      <c r="H9" s="3">
        <f>IFERROR((G9/F9),100%)</f>
        <v>0.34942945559241406</v>
      </c>
    </row>
    <row r="10" spans="1:8" x14ac:dyDescent="0.25">
      <c r="A10">
        <v>41</v>
      </c>
      <c r="B10">
        <f t="shared" ref="B10:B73" si="0">LEN(A10)</f>
        <v>2</v>
      </c>
      <c r="C10" t="s">
        <v>68</v>
      </c>
      <c r="E10" s="1">
        <v>4057764.09</v>
      </c>
      <c r="F10" s="5">
        <f>VLOOKUP(A10,'Estado de resultados mayo'!$A$4:$C$69,3,FALSE)</f>
        <v>2572087.27</v>
      </c>
      <c r="G10" s="2">
        <f t="shared" ref="G10:G73" si="1">E10-F10</f>
        <v>1485676.8199999998</v>
      </c>
      <c r="H10" s="3">
        <f t="shared" ref="H10:H73" si="2">IFERROR((G10/F10),100%)</f>
        <v>0.57761524553558397</v>
      </c>
    </row>
    <row r="11" spans="1:8" x14ac:dyDescent="0.25">
      <c r="A11">
        <v>411</v>
      </c>
      <c r="B11">
        <f t="shared" si="0"/>
        <v>3</v>
      </c>
      <c r="C11" t="s">
        <v>69</v>
      </c>
      <c r="E11" s="1">
        <v>4057764.09</v>
      </c>
      <c r="F11" s="5">
        <f>VLOOKUP(A11,'Estado de resultados mayo'!$A$4:$C$69,3,FALSE)</f>
        <v>2572087.27</v>
      </c>
      <c r="G11" s="2">
        <f t="shared" si="1"/>
        <v>1485676.8199999998</v>
      </c>
      <c r="H11" s="3">
        <f t="shared" si="2"/>
        <v>0.57761524553558397</v>
      </c>
    </row>
    <row r="12" spans="1:8" x14ac:dyDescent="0.25">
      <c r="A12">
        <v>41101</v>
      </c>
      <c r="B12">
        <f t="shared" si="0"/>
        <v>5</v>
      </c>
      <c r="C12" t="s">
        <v>70</v>
      </c>
      <c r="E12" s="1">
        <v>4055533.59</v>
      </c>
      <c r="F12" s="5">
        <f>VLOOKUP(A12,'Estado de resultados mayo'!$A$4:$C$69,3,FALSE)</f>
        <v>2570635.94</v>
      </c>
      <c r="G12" s="2">
        <f t="shared" si="1"/>
        <v>1484897.65</v>
      </c>
      <c r="H12" s="3">
        <f t="shared" si="2"/>
        <v>0.57763825164601101</v>
      </c>
    </row>
    <row r="13" spans="1:8" x14ac:dyDescent="0.25">
      <c r="A13">
        <v>4110101</v>
      </c>
      <c r="B13">
        <f t="shared" si="0"/>
        <v>7</v>
      </c>
      <c r="C13" t="s">
        <v>71</v>
      </c>
      <c r="E13" s="1">
        <v>4055533.59</v>
      </c>
      <c r="F13" s="5">
        <f>VLOOKUP(A13,'Estado de resultados mayo'!$A$4:$C$69,3,FALSE)</f>
        <v>2570635.94</v>
      </c>
      <c r="G13" s="2">
        <f t="shared" si="1"/>
        <v>1484897.65</v>
      </c>
      <c r="H13" s="3">
        <f t="shared" si="2"/>
        <v>0.57763825164601101</v>
      </c>
    </row>
    <row r="14" spans="1:8" x14ac:dyDescent="0.25">
      <c r="A14">
        <v>41102</v>
      </c>
      <c r="B14">
        <f t="shared" si="0"/>
        <v>5</v>
      </c>
      <c r="C14" t="s">
        <v>72</v>
      </c>
      <c r="E14" s="1">
        <v>2230.5</v>
      </c>
      <c r="F14" s="5">
        <f>VLOOKUP(A14,'Estado de resultados mayo'!$A$4:$C$69,3,FALSE)</f>
        <v>1451.33</v>
      </c>
      <c r="G14" s="2">
        <f t="shared" si="1"/>
        <v>779.17000000000007</v>
      </c>
      <c r="H14" s="3">
        <f t="shared" si="2"/>
        <v>0.5368661848097952</v>
      </c>
    </row>
    <row r="15" spans="1:8" x14ac:dyDescent="0.25">
      <c r="A15">
        <v>4110203</v>
      </c>
      <c r="B15">
        <f t="shared" si="0"/>
        <v>7</v>
      </c>
      <c r="C15" t="s">
        <v>73</v>
      </c>
      <c r="E15" s="1">
        <v>2230.5</v>
      </c>
      <c r="F15" s="5">
        <f>VLOOKUP(A15,'Estado de resultados mayo'!$A$4:$C$69,3,FALSE)</f>
        <v>1451.33</v>
      </c>
      <c r="G15" s="2">
        <f t="shared" si="1"/>
        <v>779.17000000000007</v>
      </c>
      <c r="H15" s="3">
        <f t="shared" si="2"/>
        <v>0.5368661848097952</v>
      </c>
    </row>
    <row r="16" spans="1:8" x14ac:dyDescent="0.25">
      <c r="A16">
        <v>42</v>
      </c>
      <c r="B16">
        <f t="shared" si="0"/>
        <v>2</v>
      </c>
      <c r="C16" t="s">
        <v>74</v>
      </c>
      <c r="E16" s="1">
        <v>1068682.81</v>
      </c>
      <c r="F16" s="5">
        <f>VLOOKUP(A16,'Estado de resultados mayo'!$A$4:$C$69,3,FALSE)</f>
        <v>883985.33</v>
      </c>
      <c r="G16" s="2">
        <f t="shared" si="1"/>
        <v>184697.4800000001</v>
      </c>
      <c r="H16" s="3">
        <f t="shared" si="2"/>
        <v>0.20893726822367076</v>
      </c>
    </row>
    <row r="17" spans="1:8" x14ac:dyDescent="0.25">
      <c r="A17">
        <v>421</v>
      </c>
      <c r="B17">
        <f t="shared" si="0"/>
        <v>3</v>
      </c>
      <c r="C17" t="s">
        <v>75</v>
      </c>
      <c r="E17" s="1">
        <v>1068682.81</v>
      </c>
      <c r="F17" s="5">
        <f>VLOOKUP(A17,'Estado de resultados mayo'!$A$4:$C$69,3,FALSE)</f>
        <v>883985.33</v>
      </c>
      <c r="G17" s="2">
        <f t="shared" si="1"/>
        <v>184697.4800000001</v>
      </c>
      <c r="H17" s="3">
        <f t="shared" si="2"/>
        <v>0.20893726822367076</v>
      </c>
    </row>
    <row r="18" spans="1:8" x14ac:dyDescent="0.25">
      <c r="A18">
        <v>42101</v>
      </c>
      <c r="B18">
        <f t="shared" si="0"/>
        <v>5</v>
      </c>
      <c r="C18" t="s">
        <v>76</v>
      </c>
      <c r="E18" s="1">
        <v>7560.26</v>
      </c>
      <c r="F18" s="5">
        <f>VLOOKUP(A18,'Estado de resultados mayo'!$A$4:$C$69,3,FALSE)</f>
        <v>5631.37</v>
      </c>
      <c r="G18" s="2">
        <f t="shared" si="1"/>
        <v>1928.8900000000003</v>
      </c>
      <c r="H18" s="3">
        <f t="shared" si="2"/>
        <v>0.34252588624082603</v>
      </c>
    </row>
    <row r="19" spans="1:8" x14ac:dyDescent="0.25">
      <c r="A19">
        <v>4210199</v>
      </c>
      <c r="B19">
        <f t="shared" si="0"/>
        <v>7</v>
      </c>
      <c r="C19" t="s">
        <v>77</v>
      </c>
      <c r="E19" s="1">
        <v>7560.26</v>
      </c>
      <c r="F19" s="5">
        <f>VLOOKUP(A19,'Estado de resultados mayo'!$A$4:$C$69,3,FALSE)</f>
        <v>5631.37</v>
      </c>
      <c r="G19" s="2">
        <f t="shared" si="1"/>
        <v>1928.8900000000003</v>
      </c>
      <c r="H19" s="3">
        <f t="shared" si="2"/>
        <v>0.34252588624082603</v>
      </c>
    </row>
    <row r="20" spans="1:8" x14ac:dyDescent="0.25">
      <c r="A20">
        <v>42102</v>
      </c>
      <c r="B20">
        <f t="shared" si="0"/>
        <v>5</v>
      </c>
      <c r="C20" t="s">
        <v>78</v>
      </c>
      <c r="E20" s="1">
        <v>1061122.55</v>
      </c>
      <c r="F20" s="5">
        <f>VLOOKUP(A20,'Estado de resultados mayo'!$A$4:$C$69,3,FALSE)</f>
        <v>878353.96</v>
      </c>
      <c r="G20" s="2">
        <f t="shared" si="1"/>
        <v>182768.59000000008</v>
      </c>
      <c r="H20" s="3">
        <f t="shared" si="2"/>
        <v>0.20808079467188842</v>
      </c>
    </row>
    <row r="21" spans="1:8" x14ac:dyDescent="0.25">
      <c r="A21">
        <v>4210201</v>
      </c>
      <c r="B21">
        <f t="shared" si="0"/>
        <v>7</v>
      </c>
      <c r="C21" t="s">
        <v>79</v>
      </c>
      <c r="E21" s="1">
        <v>972584.98</v>
      </c>
      <c r="F21" s="5">
        <f>VLOOKUP(A21,'Estado de resultados mayo'!$A$4:$C$69,3,FALSE)</f>
        <v>818927.38</v>
      </c>
      <c r="G21" s="2">
        <f t="shared" si="1"/>
        <v>153657.59999999998</v>
      </c>
      <c r="H21" s="3">
        <f t="shared" si="2"/>
        <v>0.18763275444521096</v>
      </c>
    </row>
    <row r="22" spans="1:8" x14ac:dyDescent="0.25">
      <c r="A22">
        <v>4210203</v>
      </c>
      <c r="B22">
        <f t="shared" si="0"/>
        <v>7</v>
      </c>
      <c r="C22" t="s">
        <v>80</v>
      </c>
      <c r="E22" s="1">
        <v>59777.71</v>
      </c>
      <c r="F22" s="5">
        <f>VLOOKUP(A22,'Estado de resultados mayo'!$A$4:$C$69,3,FALSE)</f>
        <v>30666.720000000001</v>
      </c>
      <c r="G22" s="2">
        <f t="shared" si="1"/>
        <v>29110.989999999998</v>
      </c>
      <c r="H22" s="3">
        <f t="shared" si="2"/>
        <v>0.94926976213954395</v>
      </c>
    </row>
    <row r="23" spans="1:8" x14ac:dyDescent="0.25">
      <c r="A23">
        <v>4210204</v>
      </c>
      <c r="B23">
        <f t="shared" si="0"/>
        <v>7</v>
      </c>
      <c r="C23" t="s">
        <v>81</v>
      </c>
      <c r="E23" s="1">
        <v>28759.86</v>
      </c>
      <c r="F23" s="5">
        <f>VLOOKUP(A23,'Estado de resultados mayo'!$A$4:$C$69,3,FALSE)</f>
        <v>28759.86</v>
      </c>
      <c r="G23" s="2">
        <f t="shared" si="1"/>
        <v>0</v>
      </c>
      <c r="H23" s="3">
        <f t="shared" si="2"/>
        <v>0</v>
      </c>
    </row>
    <row r="24" spans="1:8" x14ac:dyDescent="0.25">
      <c r="A24">
        <v>43</v>
      </c>
      <c r="B24">
        <f t="shared" si="0"/>
        <v>2</v>
      </c>
      <c r="C24" t="s">
        <v>82</v>
      </c>
      <c r="E24" s="1">
        <v>1324217.8799999999</v>
      </c>
      <c r="F24" s="5">
        <f>VLOOKUP(A24,'Estado de resultados mayo'!$A$4:$C$69,3,FALSE)</f>
        <v>1324217.8799999999</v>
      </c>
      <c r="G24" s="2">
        <f t="shared" si="1"/>
        <v>0</v>
      </c>
      <c r="H24" s="3">
        <f t="shared" si="2"/>
        <v>0</v>
      </c>
    </row>
    <row r="25" spans="1:8" x14ac:dyDescent="0.25">
      <c r="A25">
        <v>431</v>
      </c>
      <c r="B25">
        <f t="shared" si="0"/>
        <v>3</v>
      </c>
      <c r="C25" t="s">
        <v>83</v>
      </c>
      <c r="E25" s="1">
        <v>1324217.8799999999</v>
      </c>
      <c r="F25" s="5">
        <f>VLOOKUP(A25,'Estado de resultados mayo'!$A$4:$C$69,3,FALSE)</f>
        <v>1324217.8799999999</v>
      </c>
      <c r="G25" s="2">
        <f t="shared" si="1"/>
        <v>0</v>
      </c>
      <c r="H25" s="3">
        <f t="shared" si="2"/>
        <v>0</v>
      </c>
    </row>
    <row r="26" spans="1:8" x14ac:dyDescent="0.25">
      <c r="A26">
        <v>4310401</v>
      </c>
      <c r="B26">
        <f t="shared" si="0"/>
        <v>7</v>
      </c>
      <c r="C26" t="s">
        <v>84</v>
      </c>
      <c r="E26" s="1">
        <v>1324217.8799999999</v>
      </c>
      <c r="F26" s="5">
        <f>VLOOKUP(A26,'Estado de resultados mayo'!$A$4:$C$69,3,FALSE)</f>
        <v>1324217.8799999999</v>
      </c>
      <c r="G26" s="2">
        <f t="shared" si="1"/>
        <v>0</v>
      </c>
      <c r="H26" s="3">
        <f t="shared" si="2"/>
        <v>0</v>
      </c>
    </row>
    <row r="27" spans="1:8" x14ac:dyDescent="0.25">
      <c r="A27">
        <v>5</v>
      </c>
      <c r="B27">
        <f t="shared" si="0"/>
        <v>1</v>
      </c>
      <c r="C27" t="s">
        <v>85</v>
      </c>
      <c r="E27" s="1">
        <v>5355688.67</v>
      </c>
      <c r="F27" s="5">
        <f>VLOOKUP(A27,'Estado de resultados mayo'!$A$4:$C$69,3,FALSE)</f>
        <v>4267165.55</v>
      </c>
      <c r="G27" s="2">
        <f t="shared" si="1"/>
        <v>1088523.1200000001</v>
      </c>
      <c r="H27" s="3">
        <f t="shared" si="2"/>
        <v>0.25509277932748592</v>
      </c>
    </row>
    <row r="28" spans="1:8" x14ac:dyDescent="0.25">
      <c r="A28">
        <v>51</v>
      </c>
      <c r="B28">
        <f t="shared" si="0"/>
        <v>2</v>
      </c>
      <c r="C28" t="s">
        <v>86</v>
      </c>
      <c r="E28" s="1">
        <v>464694.1</v>
      </c>
      <c r="F28" s="5">
        <f>VLOOKUP(A28,'Estado de resultados mayo'!$A$4:$C$69,3,FALSE)</f>
        <v>377259.61</v>
      </c>
      <c r="G28" s="2">
        <f t="shared" si="1"/>
        <v>87434.489999999991</v>
      </c>
      <c r="H28" s="3">
        <f t="shared" si="2"/>
        <v>0.23176212794155196</v>
      </c>
    </row>
    <row r="29" spans="1:8" x14ac:dyDescent="0.25">
      <c r="A29">
        <v>511</v>
      </c>
      <c r="B29">
        <f t="shared" si="0"/>
        <v>3</v>
      </c>
      <c r="C29" t="s">
        <v>86</v>
      </c>
      <c r="E29" s="1">
        <v>464694.1</v>
      </c>
      <c r="F29" s="5">
        <f>VLOOKUP(A29,'Estado de resultados mayo'!$A$4:$C$69,3,FALSE)</f>
        <v>377259.61</v>
      </c>
      <c r="G29" s="2">
        <f t="shared" si="1"/>
        <v>87434.489999999991</v>
      </c>
      <c r="H29" s="3">
        <f t="shared" si="2"/>
        <v>0.23176212794155196</v>
      </c>
    </row>
    <row r="30" spans="1:8" x14ac:dyDescent="0.25">
      <c r="A30">
        <v>51101</v>
      </c>
      <c r="B30">
        <f t="shared" si="0"/>
        <v>5</v>
      </c>
      <c r="C30" t="s">
        <v>87</v>
      </c>
      <c r="E30" s="1">
        <v>462806.1</v>
      </c>
      <c r="F30" s="5">
        <f>VLOOKUP(A30,'Estado de resultados mayo'!$A$4:$C$69,3,FALSE)</f>
        <v>375371.61</v>
      </c>
      <c r="G30" s="2">
        <f t="shared" si="1"/>
        <v>87434.489999999991</v>
      </c>
      <c r="H30" s="3">
        <f t="shared" si="2"/>
        <v>0.23292781784962371</v>
      </c>
    </row>
    <row r="31" spans="1:8" x14ac:dyDescent="0.25">
      <c r="A31">
        <v>5110106</v>
      </c>
      <c r="B31">
        <f t="shared" si="0"/>
        <v>7</v>
      </c>
      <c r="C31" t="s">
        <v>88</v>
      </c>
      <c r="E31" s="1">
        <v>430806.1</v>
      </c>
      <c r="F31" s="5">
        <f>VLOOKUP(A31,'Estado de resultados mayo'!$A$4:$C$69,3,FALSE)</f>
        <v>351371.61</v>
      </c>
      <c r="G31" s="2">
        <f t="shared" si="1"/>
        <v>79434.489999999991</v>
      </c>
      <c r="H31" s="3">
        <f t="shared" si="2"/>
        <v>0.2260697442232171</v>
      </c>
    </row>
    <row r="32" spans="1:8" x14ac:dyDescent="0.25">
      <c r="A32">
        <v>5110139</v>
      </c>
      <c r="B32">
        <f t="shared" si="0"/>
        <v>7</v>
      </c>
      <c r="C32" t="s">
        <v>89</v>
      </c>
      <c r="E32" s="1">
        <v>32000</v>
      </c>
      <c r="F32" s="5">
        <f>VLOOKUP(A32,'Estado de resultados mayo'!$A$4:$C$69,3,FALSE)</f>
        <v>24000</v>
      </c>
      <c r="G32" s="2">
        <f t="shared" si="1"/>
        <v>8000</v>
      </c>
      <c r="H32" s="3">
        <f t="shared" si="2"/>
        <v>0.33333333333333331</v>
      </c>
    </row>
    <row r="33" spans="1:8" x14ac:dyDescent="0.25">
      <c r="A33">
        <v>51104</v>
      </c>
      <c r="B33">
        <f t="shared" si="0"/>
        <v>5</v>
      </c>
      <c r="C33" t="s">
        <v>90</v>
      </c>
      <c r="E33" s="1">
        <v>1888</v>
      </c>
      <c r="F33" s="5">
        <f>VLOOKUP(A33,'Estado de resultados mayo'!$A$4:$C$69,3,FALSE)</f>
        <v>1888</v>
      </c>
      <c r="G33" s="2">
        <f t="shared" si="1"/>
        <v>0</v>
      </c>
      <c r="H33" s="3">
        <f t="shared" si="2"/>
        <v>0</v>
      </c>
    </row>
    <row r="34" spans="1:8" x14ac:dyDescent="0.25">
      <c r="A34">
        <v>5110420</v>
      </c>
      <c r="B34">
        <f t="shared" si="0"/>
        <v>7</v>
      </c>
      <c r="C34" t="s">
        <v>91</v>
      </c>
      <c r="E34" s="1">
        <v>1888</v>
      </c>
      <c r="F34" s="5">
        <f>VLOOKUP(A34,'Estado de resultados mayo'!$A$4:$C$69,3,FALSE)</f>
        <v>1888</v>
      </c>
      <c r="G34" s="2">
        <f t="shared" si="1"/>
        <v>0</v>
      </c>
      <c r="H34" s="3">
        <f t="shared" si="2"/>
        <v>0</v>
      </c>
    </row>
    <row r="35" spans="1:8" x14ac:dyDescent="0.25">
      <c r="A35">
        <v>52</v>
      </c>
      <c r="B35">
        <f t="shared" si="0"/>
        <v>2</v>
      </c>
      <c r="C35" t="s">
        <v>92</v>
      </c>
      <c r="E35" s="1">
        <v>70361.16</v>
      </c>
      <c r="F35" s="5">
        <f>VLOOKUP(A35,'Estado de resultados mayo'!$A$4:$C$69,3,FALSE)</f>
        <v>59439.24</v>
      </c>
      <c r="G35" s="2">
        <f t="shared" si="1"/>
        <v>10921.920000000006</v>
      </c>
      <c r="H35" s="3">
        <f t="shared" si="2"/>
        <v>0.18374932115551959</v>
      </c>
    </row>
    <row r="36" spans="1:8" x14ac:dyDescent="0.25">
      <c r="A36">
        <v>521</v>
      </c>
      <c r="B36">
        <f t="shared" si="0"/>
        <v>3</v>
      </c>
      <c r="C36" t="s">
        <v>92</v>
      </c>
      <c r="E36" s="1">
        <v>70361.16</v>
      </c>
      <c r="F36" s="5">
        <f>VLOOKUP(A36,'Estado de resultados mayo'!$A$4:$C$69,3,FALSE)</f>
        <v>59439.24</v>
      </c>
      <c r="G36" s="2">
        <f t="shared" si="1"/>
        <v>10921.920000000006</v>
      </c>
      <c r="H36" s="3">
        <f t="shared" si="2"/>
        <v>0.18374932115551959</v>
      </c>
    </row>
    <row r="37" spans="1:8" x14ac:dyDescent="0.25">
      <c r="A37">
        <v>52103</v>
      </c>
      <c r="B37">
        <f t="shared" si="0"/>
        <v>5</v>
      </c>
      <c r="C37" t="s">
        <v>93</v>
      </c>
      <c r="E37" s="1">
        <v>43698.52</v>
      </c>
      <c r="F37" s="5">
        <f>VLOOKUP(A37,'Estado de resultados mayo'!$A$4:$C$69,3,FALSE)</f>
        <v>36448.120000000003</v>
      </c>
      <c r="G37" s="2">
        <f t="shared" si="1"/>
        <v>7250.3999999999942</v>
      </c>
      <c r="H37" s="3">
        <f t="shared" si="2"/>
        <v>0.19892384024196566</v>
      </c>
    </row>
    <row r="38" spans="1:8" x14ac:dyDescent="0.25">
      <c r="A38">
        <v>5210303</v>
      </c>
      <c r="B38">
        <f t="shared" si="0"/>
        <v>7</v>
      </c>
      <c r="C38" t="s">
        <v>94</v>
      </c>
      <c r="E38" s="1">
        <v>37250.61</v>
      </c>
      <c r="F38" s="5">
        <f>VLOOKUP(A38,'Estado de resultados mayo'!$A$4:$C$69,3,FALSE)</f>
        <v>30000.21</v>
      </c>
      <c r="G38" s="2">
        <f t="shared" si="1"/>
        <v>7250.4000000000015</v>
      </c>
      <c r="H38" s="3">
        <f t="shared" si="2"/>
        <v>0.24167830825184231</v>
      </c>
    </row>
    <row r="39" spans="1:8" x14ac:dyDescent="0.25">
      <c r="A39">
        <v>5210304</v>
      </c>
      <c r="B39">
        <f t="shared" si="0"/>
        <v>7</v>
      </c>
      <c r="C39" t="s">
        <v>95</v>
      </c>
      <c r="E39" s="1">
        <v>6447.91</v>
      </c>
      <c r="F39" s="5">
        <f>VLOOKUP(A39,'Estado de resultados mayo'!$A$4:$C$69,3,FALSE)</f>
        <v>6447.91</v>
      </c>
      <c r="G39" s="2">
        <f t="shared" si="1"/>
        <v>0</v>
      </c>
      <c r="H39" s="3">
        <f t="shared" si="2"/>
        <v>0</v>
      </c>
    </row>
    <row r="40" spans="1:8" x14ac:dyDescent="0.25">
      <c r="A40">
        <v>52105</v>
      </c>
      <c r="B40">
        <f t="shared" si="0"/>
        <v>5</v>
      </c>
      <c r="C40" t="s">
        <v>96</v>
      </c>
      <c r="E40" s="1">
        <v>26662.639999999999</v>
      </c>
      <c r="F40" s="5">
        <f>VLOOKUP(A40,'Estado de resultados mayo'!$A$4:$C$69,3,FALSE)</f>
        <v>22991.119999999999</v>
      </c>
      <c r="G40" s="2">
        <f t="shared" si="1"/>
        <v>3671.5200000000004</v>
      </c>
      <c r="H40" s="3">
        <f t="shared" si="2"/>
        <v>0.15969295971662106</v>
      </c>
    </row>
    <row r="41" spans="1:8" x14ac:dyDescent="0.25">
      <c r="A41">
        <v>5210501</v>
      </c>
      <c r="B41">
        <f t="shared" si="0"/>
        <v>7</v>
      </c>
      <c r="C41" t="s">
        <v>97</v>
      </c>
      <c r="E41" s="1">
        <v>17436.93</v>
      </c>
      <c r="F41" s="5">
        <f>VLOOKUP(A41,'Estado de resultados mayo'!$A$4:$C$69,3,FALSE)</f>
        <v>13765.41</v>
      </c>
      <c r="G41" s="2">
        <f t="shared" si="1"/>
        <v>3671.5200000000004</v>
      </c>
      <c r="H41" s="3">
        <f t="shared" si="2"/>
        <v>0.26672071518392843</v>
      </c>
    </row>
    <row r="42" spans="1:8" x14ac:dyDescent="0.25">
      <c r="A42">
        <v>5210599</v>
      </c>
      <c r="B42">
        <f t="shared" si="0"/>
        <v>7</v>
      </c>
      <c r="C42" t="s">
        <v>98</v>
      </c>
      <c r="E42" s="1">
        <v>9225.7099999999991</v>
      </c>
      <c r="F42" s="5">
        <f>VLOOKUP(A42,'Estado de resultados mayo'!$A$4:$C$69,3,FALSE)</f>
        <v>9225.7099999999991</v>
      </c>
      <c r="G42" s="2">
        <f t="shared" si="1"/>
        <v>0</v>
      </c>
      <c r="H42" s="3">
        <f t="shared" si="2"/>
        <v>0</v>
      </c>
    </row>
    <row r="43" spans="1:8" x14ac:dyDescent="0.25">
      <c r="A43">
        <v>53</v>
      </c>
      <c r="B43">
        <f t="shared" si="0"/>
        <v>2</v>
      </c>
      <c r="C43" t="s">
        <v>99</v>
      </c>
      <c r="E43" s="1">
        <v>4820614.0999999996</v>
      </c>
      <c r="F43" s="5">
        <f>VLOOKUP(A43,'Estado de resultados mayo'!$A$4:$C$69,3,FALSE)</f>
        <v>3830466.7</v>
      </c>
      <c r="G43" s="2">
        <f t="shared" si="1"/>
        <v>990147.39999999944</v>
      </c>
      <c r="H43" s="3">
        <f t="shared" si="2"/>
        <v>0.25849262702114062</v>
      </c>
    </row>
    <row r="44" spans="1:8" x14ac:dyDescent="0.25">
      <c r="A44">
        <v>531</v>
      </c>
      <c r="B44">
        <f t="shared" si="0"/>
        <v>3</v>
      </c>
      <c r="C44" t="s">
        <v>99</v>
      </c>
      <c r="E44" s="1">
        <v>4820614.0999999996</v>
      </c>
      <c r="F44" s="5">
        <f>VLOOKUP(A44,'Estado de resultados mayo'!$A$4:$C$69,3,FALSE)</f>
        <v>3830466.7</v>
      </c>
      <c r="G44" s="2">
        <f t="shared" si="1"/>
        <v>990147.39999999944</v>
      </c>
      <c r="H44" s="3">
        <f t="shared" si="2"/>
        <v>0.25849262702114062</v>
      </c>
    </row>
    <row r="45" spans="1:8" x14ac:dyDescent="0.25">
      <c r="A45">
        <v>53101</v>
      </c>
      <c r="B45">
        <f t="shared" si="0"/>
        <v>5</v>
      </c>
      <c r="C45" t="s">
        <v>100</v>
      </c>
      <c r="E45" s="1">
        <v>2222798.4</v>
      </c>
      <c r="F45" s="5">
        <f>VLOOKUP(A45,'Estado de resultados mayo'!$A$4:$C$69,3,FALSE)</f>
        <v>1818459.69</v>
      </c>
      <c r="G45" s="2">
        <f t="shared" si="1"/>
        <v>404338.70999999996</v>
      </c>
      <c r="H45" s="3">
        <f t="shared" si="2"/>
        <v>0.22235230850786689</v>
      </c>
    </row>
    <row r="46" spans="1:8" x14ac:dyDescent="0.25">
      <c r="A46">
        <v>5310101</v>
      </c>
      <c r="B46">
        <f t="shared" si="0"/>
        <v>7</v>
      </c>
      <c r="C46" t="s">
        <v>101</v>
      </c>
      <c r="E46" s="1">
        <v>1275181.82</v>
      </c>
      <c r="F46" s="5">
        <f>VLOOKUP(A46,'Estado de resultados mayo'!$A$4:$C$69,3,FALSE)</f>
        <v>1011306.81</v>
      </c>
      <c r="G46" s="2">
        <f t="shared" si="1"/>
        <v>263875.01</v>
      </c>
      <c r="H46" s="3">
        <f t="shared" si="2"/>
        <v>0.26092478305372035</v>
      </c>
    </row>
    <row r="47" spans="1:8" x14ac:dyDescent="0.25">
      <c r="A47">
        <v>5310102</v>
      </c>
      <c r="B47">
        <f t="shared" si="0"/>
        <v>7</v>
      </c>
      <c r="C47" t="s">
        <v>102</v>
      </c>
      <c r="E47" s="1">
        <v>106552.59</v>
      </c>
      <c r="F47" s="5">
        <f>VLOOKUP(A47,'Estado de resultados mayo'!$A$4:$C$69,3,FALSE)</f>
        <v>84451.73</v>
      </c>
      <c r="G47" s="2">
        <f t="shared" si="1"/>
        <v>22100.86</v>
      </c>
      <c r="H47" s="3">
        <f t="shared" si="2"/>
        <v>0.26169813217562271</v>
      </c>
    </row>
    <row r="48" spans="1:8" x14ac:dyDescent="0.25">
      <c r="A48">
        <v>5310105</v>
      </c>
      <c r="B48">
        <f t="shared" si="0"/>
        <v>7</v>
      </c>
      <c r="C48" t="s">
        <v>103</v>
      </c>
      <c r="E48" s="1">
        <v>334885.87</v>
      </c>
      <c r="F48" s="5">
        <f>VLOOKUP(A48,'Estado de resultados mayo'!$A$4:$C$69,3,FALSE)</f>
        <v>279407.27</v>
      </c>
      <c r="G48" s="2">
        <f t="shared" si="1"/>
        <v>55478.599999999977</v>
      </c>
      <c r="H48" s="3">
        <f t="shared" si="2"/>
        <v>0.19855818354332719</v>
      </c>
    </row>
    <row r="49" spans="1:8" x14ac:dyDescent="0.25">
      <c r="A49">
        <v>5310107</v>
      </c>
      <c r="B49">
        <f t="shared" si="0"/>
        <v>7</v>
      </c>
      <c r="C49" t="s">
        <v>104</v>
      </c>
      <c r="E49" s="1">
        <v>12955</v>
      </c>
      <c r="F49" s="5">
        <f>VLOOKUP(A49,'Estado de resultados mayo'!$A$4:$C$69,3,FALSE)</f>
        <v>10316</v>
      </c>
      <c r="G49" s="2">
        <f t="shared" si="1"/>
        <v>2639</v>
      </c>
      <c r="H49" s="3">
        <f t="shared" si="2"/>
        <v>0.2558162078324932</v>
      </c>
    </row>
    <row r="50" spans="1:8" x14ac:dyDescent="0.25">
      <c r="A50">
        <v>5310109</v>
      </c>
      <c r="B50">
        <f t="shared" si="0"/>
        <v>7</v>
      </c>
      <c r="C50" t="s">
        <v>105</v>
      </c>
      <c r="E50" s="1">
        <v>91975.6</v>
      </c>
      <c r="F50" s="5">
        <f>VLOOKUP(A50,'Estado de resultados mayo'!$A$4:$C$69,3,FALSE)</f>
        <v>73240.47</v>
      </c>
      <c r="G50" s="2">
        <f t="shared" si="1"/>
        <v>18735.130000000005</v>
      </c>
      <c r="H50" s="3">
        <f t="shared" si="2"/>
        <v>0.25580297341073871</v>
      </c>
    </row>
    <row r="51" spans="1:8" x14ac:dyDescent="0.25">
      <c r="A51">
        <v>5310110</v>
      </c>
      <c r="B51">
        <f t="shared" si="0"/>
        <v>7</v>
      </c>
      <c r="C51" t="s">
        <v>106</v>
      </c>
      <c r="E51" s="1">
        <v>20356.689999999999</v>
      </c>
      <c r="F51" s="5">
        <f>VLOOKUP(A51,'Estado de resultados mayo'!$A$4:$C$69,3,FALSE)</f>
        <v>20356.689999999999</v>
      </c>
      <c r="G51" s="2">
        <f t="shared" si="1"/>
        <v>0</v>
      </c>
      <c r="H51" s="3">
        <f t="shared" si="2"/>
        <v>0</v>
      </c>
    </row>
    <row r="52" spans="1:8" x14ac:dyDescent="0.25">
      <c r="A52">
        <v>5310114</v>
      </c>
      <c r="B52">
        <f t="shared" si="0"/>
        <v>7</v>
      </c>
      <c r="C52" t="s">
        <v>107</v>
      </c>
      <c r="E52" s="1">
        <v>97388.61</v>
      </c>
      <c r="F52" s="5">
        <f>VLOOKUP(A52,'Estado de resultados mayo'!$A$4:$C$69,3,FALSE)</f>
        <v>77756.11</v>
      </c>
      <c r="G52" s="2">
        <f t="shared" si="1"/>
        <v>19632.5</v>
      </c>
      <c r="H52" s="3">
        <f t="shared" si="2"/>
        <v>0.25248819674749673</v>
      </c>
    </row>
    <row r="53" spans="1:8" x14ac:dyDescent="0.25">
      <c r="A53">
        <v>5310115</v>
      </c>
      <c r="B53">
        <f t="shared" si="0"/>
        <v>7</v>
      </c>
      <c r="C53" t="s">
        <v>108</v>
      </c>
      <c r="E53" s="1">
        <v>11162.71</v>
      </c>
      <c r="F53" s="5">
        <f>VLOOKUP(A53,'Estado de resultados mayo'!$A$4:$C$69,3,FALSE)</f>
        <v>8995.1</v>
      </c>
      <c r="G53" s="2">
        <f t="shared" si="1"/>
        <v>2167.6099999999988</v>
      </c>
      <c r="H53" s="3">
        <f t="shared" si="2"/>
        <v>0.24097675401051669</v>
      </c>
    </row>
    <row r="54" spans="1:8" x14ac:dyDescent="0.25">
      <c r="A54">
        <v>5310116</v>
      </c>
      <c r="B54">
        <f t="shared" si="0"/>
        <v>7</v>
      </c>
      <c r="C54" t="s">
        <v>109</v>
      </c>
      <c r="E54" s="1">
        <v>23734</v>
      </c>
      <c r="F54" s="5">
        <f>VLOOKUP(A54,'Estado de resultados mayo'!$A$4:$C$69,3,FALSE)</f>
        <v>23734</v>
      </c>
      <c r="G54" s="2">
        <f t="shared" si="1"/>
        <v>0</v>
      </c>
      <c r="H54" s="3">
        <f t="shared" si="2"/>
        <v>0</v>
      </c>
    </row>
    <row r="55" spans="1:8" x14ac:dyDescent="0.25">
      <c r="A55">
        <v>5310119</v>
      </c>
      <c r="B55">
        <f t="shared" si="0"/>
        <v>7</v>
      </c>
      <c r="C55" t="s">
        <v>110</v>
      </c>
      <c r="E55" s="1">
        <v>153600.51</v>
      </c>
      <c r="F55" s="5">
        <f>VLOOKUP(A55,'Estado de resultados mayo'!$A$4:$C$69,3,FALSE)</f>
        <v>153600.51</v>
      </c>
      <c r="G55" s="2">
        <f t="shared" si="1"/>
        <v>0</v>
      </c>
      <c r="H55" s="3">
        <f t="shared" si="2"/>
        <v>0</v>
      </c>
    </row>
    <row r="56" spans="1:8" x14ac:dyDescent="0.25">
      <c r="A56">
        <v>5310121</v>
      </c>
      <c r="B56">
        <f t="shared" si="0"/>
        <v>7</v>
      </c>
      <c r="C56" t="s">
        <v>111</v>
      </c>
      <c r="E56" s="1">
        <v>49345</v>
      </c>
      <c r="F56" s="5">
        <f>VLOOKUP(A56,'Estado de resultados mayo'!$A$4:$C$69,3,FALSE)</f>
        <v>45895</v>
      </c>
      <c r="G56" s="2">
        <f t="shared" si="1"/>
        <v>3450</v>
      </c>
      <c r="H56" s="3">
        <f t="shared" si="2"/>
        <v>7.5171587318880045E-2</v>
      </c>
    </row>
    <row r="57" spans="1:8" x14ac:dyDescent="0.25">
      <c r="A57">
        <v>5310125</v>
      </c>
      <c r="B57">
        <f t="shared" si="0"/>
        <v>7</v>
      </c>
      <c r="C57" t="s">
        <v>112</v>
      </c>
      <c r="E57" s="1">
        <v>6460</v>
      </c>
      <c r="F57" s="5">
        <v>0</v>
      </c>
      <c r="G57" s="2">
        <f t="shared" si="1"/>
        <v>6460</v>
      </c>
      <c r="H57" s="3">
        <f t="shared" si="2"/>
        <v>1</v>
      </c>
    </row>
    <row r="58" spans="1:8" x14ac:dyDescent="0.25">
      <c r="A58">
        <v>5310126</v>
      </c>
      <c r="B58">
        <f t="shared" si="0"/>
        <v>7</v>
      </c>
      <c r="C58" t="s">
        <v>113</v>
      </c>
      <c r="E58" s="1">
        <v>39200</v>
      </c>
      <c r="F58" s="5">
        <f>VLOOKUP(A58,'Estado de resultados mayo'!$A$4:$C$69,3,FALSE)</f>
        <v>29400</v>
      </c>
      <c r="G58" s="2">
        <f t="shared" si="1"/>
        <v>9800</v>
      </c>
      <c r="H58" s="3">
        <f t="shared" si="2"/>
        <v>0.33333333333333331</v>
      </c>
    </row>
    <row r="59" spans="1:8" x14ac:dyDescent="0.25">
      <c r="A59">
        <v>53102</v>
      </c>
      <c r="B59">
        <f t="shared" si="0"/>
        <v>5</v>
      </c>
      <c r="C59" t="s">
        <v>114</v>
      </c>
      <c r="E59" s="1">
        <v>510170.98</v>
      </c>
      <c r="F59" s="5">
        <f>VLOOKUP(A59,'Estado de resultados mayo'!$A$4:$C$69,3,FALSE)</f>
        <v>418546.78</v>
      </c>
      <c r="G59" s="2">
        <f t="shared" si="1"/>
        <v>91624.199999999953</v>
      </c>
      <c r="H59" s="3">
        <f t="shared" si="2"/>
        <v>0.21891029719545316</v>
      </c>
    </row>
    <row r="60" spans="1:8" x14ac:dyDescent="0.25">
      <c r="A60">
        <v>5310201</v>
      </c>
      <c r="B60">
        <f t="shared" si="0"/>
        <v>7</v>
      </c>
      <c r="C60" t="s">
        <v>115</v>
      </c>
      <c r="E60" s="1">
        <v>232173.16</v>
      </c>
      <c r="F60" s="5">
        <f>VLOOKUP(A60,'Estado de resultados mayo'!$A$4:$C$69,3,FALSE)</f>
        <v>193286.52</v>
      </c>
      <c r="G60" s="2">
        <f t="shared" si="1"/>
        <v>38886.640000000014</v>
      </c>
      <c r="H60" s="3">
        <f t="shared" si="2"/>
        <v>0.20118650798824469</v>
      </c>
    </row>
    <row r="61" spans="1:8" x14ac:dyDescent="0.25">
      <c r="A61">
        <v>5310206</v>
      </c>
      <c r="B61">
        <f t="shared" si="0"/>
        <v>7</v>
      </c>
      <c r="C61" t="s">
        <v>116</v>
      </c>
      <c r="E61" s="1">
        <v>94551.22</v>
      </c>
      <c r="F61" s="5">
        <f>VLOOKUP(A61,'Estado de resultados mayo'!$A$4:$C$69,3,FALSE)</f>
        <v>87770.26</v>
      </c>
      <c r="G61" s="2">
        <f t="shared" si="1"/>
        <v>6780.9600000000064</v>
      </c>
      <c r="H61" s="3">
        <f t="shared" si="2"/>
        <v>7.7258059848518246E-2</v>
      </c>
    </row>
    <row r="62" spans="1:8" x14ac:dyDescent="0.25">
      <c r="A62">
        <v>5310215</v>
      </c>
      <c r="B62">
        <f t="shared" si="0"/>
        <v>7</v>
      </c>
      <c r="C62" t="s">
        <v>117</v>
      </c>
      <c r="E62" s="1">
        <v>183446.6</v>
      </c>
      <c r="F62" s="5">
        <f>VLOOKUP(A62,'Estado de resultados mayo'!$A$4:$C$69,3,FALSE)</f>
        <v>137490</v>
      </c>
      <c r="G62" s="2">
        <f t="shared" si="1"/>
        <v>45956.600000000006</v>
      </c>
      <c r="H62" s="3">
        <f t="shared" si="2"/>
        <v>0.33425412757291445</v>
      </c>
    </row>
    <row r="63" spans="1:8" x14ac:dyDescent="0.25">
      <c r="A63">
        <v>53103</v>
      </c>
      <c r="B63">
        <f t="shared" si="0"/>
        <v>5</v>
      </c>
      <c r="C63" t="s">
        <v>118</v>
      </c>
      <c r="E63" s="1">
        <v>388996.64</v>
      </c>
      <c r="F63" s="5">
        <f>VLOOKUP(A63,'Estado de resultados mayo'!$A$4:$C$69,3,FALSE)</f>
        <v>314762.84999999998</v>
      </c>
      <c r="G63" s="2">
        <f t="shared" si="1"/>
        <v>74233.790000000037</v>
      </c>
      <c r="H63" s="3">
        <f t="shared" si="2"/>
        <v>0.23584037951111461</v>
      </c>
    </row>
    <row r="64" spans="1:8" x14ac:dyDescent="0.25">
      <c r="A64">
        <v>5310302</v>
      </c>
      <c r="B64">
        <f t="shared" si="0"/>
        <v>7</v>
      </c>
      <c r="C64" t="s">
        <v>119</v>
      </c>
      <c r="E64" s="1">
        <v>388996.64</v>
      </c>
      <c r="F64" s="5">
        <f>VLOOKUP(A64,'Estado de resultados mayo'!$A$4:$C$69,3,FALSE)</f>
        <v>314762.84999999998</v>
      </c>
      <c r="G64" s="2">
        <f t="shared" si="1"/>
        <v>74233.790000000037</v>
      </c>
      <c r="H64" s="3">
        <f t="shared" si="2"/>
        <v>0.23584037951111461</v>
      </c>
    </row>
    <row r="65" spans="1:9" x14ac:dyDescent="0.25">
      <c r="A65">
        <v>53105</v>
      </c>
      <c r="B65">
        <f t="shared" si="0"/>
        <v>5</v>
      </c>
      <c r="C65" t="s">
        <v>120</v>
      </c>
      <c r="E65" s="1">
        <v>22893.05</v>
      </c>
      <c r="F65" s="5">
        <v>0</v>
      </c>
      <c r="G65" s="2">
        <f t="shared" si="1"/>
        <v>22893.05</v>
      </c>
      <c r="H65" s="3">
        <f t="shared" si="2"/>
        <v>1</v>
      </c>
    </row>
    <row r="66" spans="1:9" x14ac:dyDescent="0.25">
      <c r="A66">
        <v>5310506</v>
      </c>
      <c r="B66">
        <f t="shared" si="0"/>
        <v>7</v>
      </c>
      <c r="C66" t="s">
        <v>121</v>
      </c>
      <c r="E66" s="1">
        <v>22893.05</v>
      </c>
      <c r="F66" s="5">
        <v>0</v>
      </c>
      <c r="G66" s="2">
        <f t="shared" si="1"/>
        <v>22893.05</v>
      </c>
      <c r="H66" s="3">
        <f t="shared" si="2"/>
        <v>1</v>
      </c>
    </row>
    <row r="67" spans="1:9" x14ac:dyDescent="0.25">
      <c r="A67">
        <v>53107</v>
      </c>
      <c r="B67">
        <f t="shared" si="0"/>
        <v>5</v>
      </c>
      <c r="C67" t="s">
        <v>122</v>
      </c>
      <c r="E67" s="1">
        <v>291723.86</v>
      </c>
      <c r="F67" s="5">
        <f>VLOOKUP(A67,'Estado de resultados mayo'!$A$4:$C$69,3,FALSE)</f>
        <v>228175.19</v>
      </c>
      <c r="G67" s="2">
        <f t="shared" si="1"/>
        <v>63548.669999999984</v>
      </c>
      <c r="H67" s="3">
        <f t="shared" si="2"/>
        <v>0.2785082374643798</v>
      </c>
    </row>
    <row r="68" spans="1:9" x14ac:dyDescent="0.25">
      <c r="A68">
        <v>5310701</v>
      </c>
      <c r="B68">
        <f t="shared" si="0"/>
        <v>7</v>
      </c>
      <c r="C68" t="s">
        <v>123</v>
      </c>
      <c r="E68" s="1">
        <v>289787.06</v>
      </c>
      <c r="F68" s="5">
        <f>VLOOKUP(A68,'Estado de resultados mayo'!$A$4:$C$69,3,FALSE)</f>
        <v>226883.99</v>
      </c>
      <c r="G68" s="2">
        <f t="shared" si="1"/>
        <v>62903.070000000007</v>
      </c>
      <c r="H68" s="3">
        <f t="shared" si="2"/>
        <v>0.27724772470723918</v>
      </c>
    </row>
    <row r="69" spans="1:9" x14ac:dyDescent="0.25">
      <c r="A69">
        <v>5310702</v>
      </c>
      <c r="B69">
        <f t="shared" si="0"/>
        <v>7</v>
      </c>
      <c r="C69" t="s">
        <v>124</v>
      </c>
      <c r="E69" s="1">
        <v>1936.8</v>
      </c>
      <c r="F69" s="5">
        <f>VLOOKUP(A69,'Estado de resultados mayo'!$A$4:$C$69,3,FALSE)</f>
        <v>1291.2</v>
      </c>
      <c r="G69" s="2">
        <f t="shared" si="1"/>
        <v>645.59999999999991</v>
      </c>
      <c r="H69" s="3">
        <f t="shared" si="2"/>
        <v>0.49999999999999989</v>
      </c>
    </row>
    <row r="70" spans="1:9" x14ac:dyDescent="0.25">
      <c r="A70">
        <v>53108</v>
      </c>
      <c r="B70">
        <f t="shared" si="0"/>
        <v>5</v>
      </c>
      <c r="C70" t="s">
        <v>125</v>
      </c>
      <c r="E70" s="1">
        <v>1384031.17</v>
      </c>
      <c r="F70" s="5">
        <f>VLOOKUP(A70,'Estado de resultados mayo'!$A$4:$C$69,3,FALSE)</f>
        <v>1050522.19</v>
      </c>
      <c r="G70" s="2">
        <f t="shared" si="1"/>
        <v>333508.98</v>
      </c>
      <c r="H70" s="3">
        <f t="shared" si="2"/>
        <v>0.31746971475205105</v>
      </c>
    </row>
    <row r="71" spans="1:9" x14ac:dyDescent="0.25">
      <c r="A71">
        <v>5310801</v>
      </c>
      <c r="B71">
        <f t="shared" si="0"/>
        <v>7</v>
      </c>
      <c r="C71" t="s">
        <v>126</v>
      </c>
      <c r="E71" s="1">
        <v>360682</v>
      </c>
      <c r="F71" s="5">
        <f>VLOOKUP(A71,'Estado de resultados mayo'!$A$4:$C$69,3,FALSE)</f>
        <v>305682</v>
      </c>
      <c r="G71" s="2">
        <f t="shared" si="1"/>
        <v>55000</v>
      </c>
      <c r="H71" s="3">
        <f t="shared" si="2"/>
        <v>0.17992554353871015</v>
      </c>
      <c r="I71" s="2">
        <f>G71*6</f>
        <v>330000</v>
      </c>
    </row>
    <row r="72" spans="1:9" x14ac:dyDescent="0.25">
      <c r="A72">
        <v>5310802</v>
      </c>
      <c r="B72">
        <f t="shared" si="0"/>
        <v>7</v>
      </c>
      <c r="C72" t="s">
        <v>127</v>
      </c>
      <c r="E72" s="1">
        <v>303650.89</v>
      </c>
      <c r="F72" s="5">
        <f>VLOOKUP(A72,'Estado de resultados mayo'!$A$4:$C$69,3,FALSE)</f>
        <v>250941.91</v>
      </c>
      <c r="G72" s="2">
        <f t="shared" si="1"/>
        <v>52708.98000000001</v>
      </c>
      <c r="H72" s="3">
        <f t="shared" si="2"/>
        <v>0.21004454776007725</v>
      </c>
      <c r="I72" s="2">
        <f>E71</f>
        <v>360682</v>
      </c>
    </row>
    <row r="73" spans="1:9" x14ac:dyDescent="0.25">
      <c r="A73">
        <v>5310806</v>
      </c>
      <c r="B73">
        <f t="shared" si="0"/>
        <v>7</v>
      </c>
      <c r="C73" t="s">
        <v>128</v>
      </c>
      <c r="E73" s="1">
        <v>32640</v>
      </c>
      <c r="F73" s="5">
        <f>VLOOKUP(A73,'Estado de resultados mayo'!$A$4:$C$69,3,FALSE)</f>
        <v>16840</v>
      </c>
      <c r="G73" s="2">
        <f t="shared" si="1"/>
        <v>15800</v>
      </c>
      <c r="H73" s="3">
        <f t="shared" si="2"/>
        <v>0.93824228028503565</v>
      </c>
      <c r="I73" s="2">
        <f>I72-I71</f>
        <v>30682</v>
      </c>
    </row>
    <row r="74" spans="1:9" x14ac:dyDescent="0.25">
      <c r="A74">
        <v>5310811</v>
      </c>
      <c r="B74">
        <f t="shared" ref="B74:B82" si="3">LEN(A74)</f>
        <v>7</v>
      </c>
      <c r="C74" t="s">
        <v>129</v>
      </c>
      <c r="E74" s="1">
        <v>4644.42</v>
      </c>
      <c r="F74" s="5">
        <f>VLOOKUP(A74,'Estado de resultados mayo'!$A$4:$C$69,3,FALSE)</f>
        <v>4644.42</v>
      </c>
      <c r="G74" s="2">
        <f t="shared" ref="G74:G82" si="4">E74-F74</f>
        <v>0</v>
      </c>
      <c r="H74" s="3">
        <f t="shared" ref="H74:H82" si="5">IFERROR((G74/F74),100%)</f>
        <v>0</v>
      </c>
    </row>
    <row r="75" spans="1:9" x14ac:dyDescent="0.25">
      <c r="A75">
        <v>5310825</v>
      </c>
      <c r="B75">
        <f t="shared" si="3"/>
        <v>7</v>
      </c>
      <c r="C75" t="s">
        <v>130</v>
      </c>
      <c r="E75" s="1">
        <v>17113.86</v>
      </c>
      <c r="F75" s="5">
        <f>VLOOKUP(A75,'Estado de resultados mayo'!$A$4:$C$69,3,FALSE)</f>
        <v>17113.86</v>
      </c>
      <c r="G75" s="2">
        <f t="shared" si="4"/>
        <v>0</v>
      </c>
      <c r="H75" s="3">
        <f t="shared" si="5"/>
        <v>0</v>
      </c>
    </row>
    <row r="76" spans="1:9" x14ac:dyDescent="0.25">
      <c r="A76">
        <v>5310832</v>
      </c>
      <c r="B76">
        <f t="shared" si="3"/>
        <v>7</v>
      </c>
      <c r="C76" t="s">
        <v>131</v>
      </c>
      <c r="E76" s="1">
        <v>5300</v>
      </c>
      <c r="F76" s="5">
        <f>VLOOKUP(A76,'Estado de resultados mayo'!$A$4:$C$69,3,FALSE)</f>
        <v>5300</v>
      </c>
      <c r="G76" s="2">
        <f t="shared" si="4"/>
        <v>0</v>
      </c>
      <c r="H76" s="3">
        <f t="shared" si="5"/>
        <v>0</v>
      </c>
    </row>
    <row r="77" spans="1:9" x14ac:dyDescent="0.25">
      <c r="A77">
        <v>5310835</v>
      </c>
      <c r="B77">
        <f t="shared" si="3"/>
        <v>7</v>
      </c>
      <c r="C77" t="s">
        <v>132</v>
      </c>
      <c r="E77" s="1">
        <v>600000</v>
      </c>
      <c r="F77" s="5">
        <f>VLOOKUP(A77,'Estado de resultados mayo'!$A$4:$C$69,3,FALSE)</f>
        <v>450000</v>
      </c>
      <c r="G77" s="2">
        <f t="shared" si="4"/>
        <v>150000</v>
      </c>
      <c r="H77" s="3">
        <f t="shared" si="5"/>
        <v>0.33333333333333331</v>
      </c>
    </row>
    <row r="78" spans="1:9" x14ac:dyDescent="0.25">
      <c r="A78">
        <v>5310837</v>
      </c>
      <c r="B78">
        <f t="shared" si="3"/>
        <v>7</v>
      </c>
      <c r="C78" t="s">
        <v>133</v>
      </c>
      <c r="E78" s="1">
        <v>60000</v>
      </c>
      <c r="F78" s="5">
        <v>0</v>
      </c>
      <c r="G78" s="2">
        <f t="shared" si="4"/>
        <v>60000</v>
      </c>
      <c r="H78" s="3">
        <f t="shared" si="5"/>
        <v>1</v>
      </c>
    </row>
    <row r="79" spans="1:9" x14ac:dyDescent="0.25">
      <c r="A79">
        <v>56</v>
      </c>
      <c r="B79">
        <f t="shared" si="3"/>
        <v>2</v>
      </c>
      <c r="C79" t="s">
        <v>134</v>
      </c>
      <c r="E79">
        <v>19.309999999999999</v>
      </c>
      <c r="F79" s="5">
        <v>0</v>
      </c>
      <c r="G79" s="2">
        <f t="shared" si="4"/>
        <v>19.309999999999999</v>
      </c>
      <c r="H79" s="3">
        <f t="shared" si="5"/>
        <v>1</v>
      </c>
    </row>
    <row r="80" spans="1:9" x14ac:dyDescent="0.25">
      <c r="A80">
        <v>561</v>
      </c>
      <c r="B80">
        <f t="shared" si="3"/>
        <v>3</v>
      </c>
      <c r="C80" t="s">
        <v>135</v>
      </c>
      <c r="E80">
        <v>19.309999999999999</v>
      </c>
      <c r="F80" s="5">
        <v>0</v>
      </c>
      <c r="G80" s="2">
        <f t="shared" si="4"/>
        <v>19.309999999999999</v>
      </c>
      <c r="H80" s="3">
        <f t="shared" si="5"/>
        <v>1</v>
      </c>
    </row>
    <row r="81" spans="1:8" x14ac:dyDescent="0.25">
      <c r="A81">
        <v>56101</v>
      </c>
      <c r="B81">
        <f t="shared" si="3"/>
        <v>5</v>
      </c>
      <c r="C81" t="s">
        <v>136</v>
      </c>
      <c r="E81">
        <v>19.309999999999999</v>
      </c>
      <c r="F81" s="5">
        <v>0</v>
      </c>
      <c r="G81" s="2">
        <f t="shared" si="4"/>
        <v>19.309999999999999</v>
      </c>
      <c r="H81" s="3">
        <f t="shared" si="5"/>
        <v>1</v>
      </c>
    </row>
    <row r="82" spans="1:8" x14ac:dyDescent="0.25">
      <c r="A82">
        <v>5610101</v>
      </c>
      <c r="B82">
        <f t="shared" si="3"/>
        <v>7</v>
      </c>
      <c r="C82" t="s">
        <v>137</v>
      </c>
      <c r="E82">
        <v>19.309999999999999</v>
      </c>
      <c r="F82" s="5">
        <v>0</v>
      </c>
      <c r="G82" s="2">
        <f t="shared" si="4"/>
        <v>19.309999999999999</v>
      </c>
      <c r="H82" s="3">
        <f t="shared" si="5"/>
        <v>1</v>
      </c>
    </row>
    <row r="83" spans="1:8" x14ac:dyDescent="0.25">
      <c r="F83" s="18"/>
    </row>
    <row r="87" spans="1:8" x14ac:dyDescent="0.25">
      <c r="C87" s="12">
        <f>5000000-1500000+150000</f>
        <v>3650000</v>
      </c>
      <c r="D87" s="12"/>
      <c r="F87" s="4">
        <v>180000</v>
      </c>
    </row>
    <row r="88" spans="1:8" x14ac:dyDescent="0.25">
      <c r="C88" s="12">
        <v>5000000</v>
      </c>
      <c r="D88" s="12"/>
      <c r="F88" s="4">
        <f>+F87/17</f>
        <v>10588.235294117647</v>
      </c>
    </row>
    <row r="89" spans="1:8" x14ac:dyDescent="0.25">
      <c r="C89" s="12">
        <f>C88-1500000-150000</f>
        <v>3350000</v>
      </c>
      <c r="D89" s="12"/>
    </row>
    <row r="91" spans="1:8" x14ac:dyDescent="0.25">
      <c r="C91">
        <f>2.5*-1</f>
        <v>-2.5</v>
      </c>
    </row>
    <row r="92" spans="1:8" x14ac:dyDescent="0.25">
      <c r="C92" s="12">
        <f>0.2*6.25</f>
        <v>1.25</v>
      </c>
      <c r="D92" s="12"/>
      <c r="E92" s="12"/>
    </row>
    <row r="93" spans="1:8" x14ac:dyDescent="0.25">
      <c r="C93">
        <f>980-2.5</f>
        <v>977.5</v>
      </c>
    </row>
    <row r="98" spans="3:7" x14ac:dyDescent="0.25">
      <c r="E98" s="12"/>
    </row>
    <row r="99" spans="3:7" x14ac:dyDescent="0.25">
      <c r="E99" s="45"/>
      <c r="F99" s="25"/>
      <c r="G99" s="24"/>
    </row>
    <row r="100" spans="3:7" x14ac:dyDescent="0.25">
      <c r="E100" s="45"/>
      <c r="F100" s="25"/>
      <c r="G100" s="24"/>
    </row>
    <row r="101" spans="3:7" x14ac:dyDescent="0.25">
      <c r="E101" s="45"/>
      <c r="F101" s="25"/>
      <c r="G101" s="24"/>
    </row>
    <row r="102" spans="3:7" x14ac:dyDescent="0.25">
      <c r="E102" s="45"/>
      <c r="F102" s="27"/>
      <c r="G102" s="24"/>
    </row>
    <row r="105" spans="3:7" ht="98.25" customHeight="1" x14ac:dyDescent="0.25"/>
    <row r="107" spans="3:7" x14ac:dyDescent="0.25">
      <c r="C107" s="24"/>
      <c r="D107" s="24"/>
      <c r="E107" s="238" t="s">
        <v>162</v>
      </c>
      <c r="F107" s="238"/>
      <c r="G107" s="238"/>
    </row>
    <row r="108" spans="3:7" x14ac:dyDescent="0.25">
      <c r="C108" s="24"/>
      <c r="D108" s="24"/>
      <c r="E108" s="49" t="s">
        <v>165</v>
      </c>
      <c r="F108"/>
      <c r="G108" s="49" t="s">
        <v>164</v>
      </c>
    </row>
    <row r="109" spans="3:7" x14ac:dyDescent="0.25">
      <c r="C109" s="24"/>
      <c r="D109" s="24"/>
      <c r="E109" s="24" t="s">
        <v>158</v>
      </c>
      <c r="F109"/>
      <c r="G109" s="27">
        <v>13374</v>
      </c>
    </row>
    <row r="110" spans="3:7" x14ac:dyDescent="0.25">
      <c r="C110" s="24"/>
      <c r="D110" s="24"/>
      <c r="E110" s="24" t="s">
        <v>159</v>
      </c>
      <c r="F110"/>
      <c r="G110" s="27">
        <v>10000</v>
      </c>
    </row>
    <row r="111" spans="3:7" x14ac:dyDescent="0.25">
      <c r="C111" s="24"/>
      <c r="D111" s="24"/>
      <c r="E111" s="24" t="s">
        <v>161</v>
      </c>
      <c r="F111"/>
      <c r="G111" s="35">
        <v>10000</v>
      </c>
    </row>
    <row r="112" spans="3:7" x14ac:dyDescent="0.25">
      <c r="C112" s="24"/>
      <c r="D112" s="24"/>
      <c r="E112" s="24"/>
      <c r="F112" s="50" t="s">
        <v>166</v>
      </c>
      <c r="G112" s="46">
        <f>SUM(G109:G111)</f>
        <v>33374</v>
      </c>
    </row>
    <row r="113" spans="3:6" x14ac:dyDescent="0.25">
      <c r="C113" s="24"/>
      <c r="D113" s="24"/>
      <c r="E113" s="24"/>
      <c r="F113" s="24"/>
    </row>
    <row r="114" spans="3:6" x14ac:dyDescent="0.25">
      <c r="C114" s="47"/>
      <c r="D114" s="47" t="s">
        <v>160</v>
      </c>
      <c r="E114" s="48" t="s">
        <v>163</v>
      </c>
      <c r="F114" s="24"/>
    </row>
    <row r="115" spans="3:6" x14ac:dyDescent="0.25">
      <c r="C115" s="24"/>
      <c r="D115" s="24"/>
      <c r="E115" s="25"/>
      <c r="F115" s="24"/>
    </row>
    <row r="116" spans="3:6" x14ac:dyDescent="0.25">
      <c r="C116" s="24"/>
      <c r="D116" s="24"/>
      <c r="E116" s="25"/>
      <c r="F116" s="24"/>
    </row>
  </sheetData>
  <autoFilter ref="A8:H82"/>
  <mergeCells count="5">
    <mergeCell ref="A3:H3"/>
    <mergeCell ref="A4:H4"/>
    <mergeCell ref="A5:H5"/>
    <mergeCell ref="A6:H6"/>
    <mergeCell ref="E107:G107"/>
  </mergeCells>
  <pageMargins left="0.7" right="0.7" top="0.75" bottom="0.75" header="0.3" footer="0.3"/>
  <pageSetup scale="4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topLeftCell="A10" zoomScale="85" zoomScaleNormal="85" workbookViewId="0">
      <selection activeCell="B27" activeCellId="1" sqref="A26:G27 B27"/>
    </sheetView>
  </sheetViews>
  <sheetFormatPr baseColWidth="10" defaultRowHeight="15" x14ac:dyDescent="0.25"/>
  <cols>
    <col min="2" max="2" width="30.140625" customWidth="1"/>
    <col min="3" max="3" width="17.42578125" customWidth="1"/>
    <col min="4" max="4" width="5" customWidth="1"/>
    <col min="5" max="5" width="17.140625" customWidth="1"/>
    <col min="6" max="6" width="6" customWidth="1"/>
    <col min="7" max="7" width="14.5703125" customWidth="1"/>
    <col min="8" max="8" width="4.28515625" customWidth="1"/>
    <col min="9" max="9" width="11" customWidth="1"/>
    <col min="10" max="10" width="23.42578125" customWidth="1"/>
    <col min="11" max="11" width="19.5703125" style="12" hidden="1" customWidth="1"/>
    <col min="12" max="12" width="13.140625" hidden="1" customWidth="1"/>
    <col min="13" max="13" width="0" hidden="1" customWidth="1"/>
    <col min="14" max="14" width="17.28515625" hidden="1" customWidth="1"/>
    <col min="15" max="15" width="13.85546875" hidden="1" customWidth="1"/>
    <col min="16" max="16" width="13.140625" hidden="1" customWidth="1"/>
  </cols>
  <sheetData>
    <row r="1" spans="1:16" x14ac:dyDescent="0.25">
      <c r="A1" s="24"/>
      <c r="B1" s="24"/>
      <c r="C1" s="24"/>
      <c r="D1" s="24"/>
      <c r="E1" s="25"/>
      <c r="F1" s="25"/>
      <c r="G1" s="24"/>
      <c r="H1" s="24"/>
      <c r="I1" s="24"/>
    </row>
    <row r="2" spans="1:16" x14ac:dyDescent="0.25">
      <c r="A2" s="24"/>
      <c r="B2" s="24"/>
      <c r="C2" s="24"/>
      <c r="D2" s="24"/>
      <c r="E2" s="25"/>
      <c r="F2" s="25"/>
      <c r="G2" s="24"/>
      <c r="H2" s="24"/>
      <c r="I2" s="24"/>
    </row>
    <row r="3" spans="1:16" ht="62.25" customHeight="1" x14ac:dyDescent="0.25">
      <c r="A3" s="24"/>
      <c r="B3" s="236" t="s">
        <v>169</v>
      </c>
      <c r="C3" s="236"/>
      <c r="D3" s="236"/>
      <c r="E3" s="236"/>
      <c r="F3" s="236"/>
      <c r="G3" s="236"/>
      <c r="H3" s="236"/>
      <c r="I3" s="236"/>
      <c r="J3" s="98"/>
      <c r="K3" s="84"/>
    </row>
    <row r="4" spans="1:16" x14ac:dyDescent="0.25">
      <c r="A4" s="24"/>
      <c r="B4" s="237" t="s">
        <v>65</v>
      </c>
      <c r="C4" s="237"/>
      <c r="D4" s="237"/>
      <c r="E4" s="237"/>
      <c r="F4" s="237"/>
      <c r="G4" s="237"/>
      <c r="H4" s="237"/>
      <c r="I4" s="237"/>
      <c r="J4" s="99"/>
      <c r="K4" s="85"/>
    </row>
    <row r="5" spans="1:16" x14ac:dyDescent="0.25">
      <c r="A5" s="24"/>
      <c r="B5" s="237" t="s">
        <v>185</v>
      </c>
      <c r="C5" s="237"/>
      <c r="D5" s="237"/>
      <c r="E5" s="237"/>
      <c r="F5" s="237"/>
      <c r="G5" s="237"/>
      <c r="H5" s="237"/>
      <c r="I5" s="237"/>
      <c r="J5" s="99"/>
      <c r="K5" s="85"/>
    </row>
    <row r="6" spans="1:16" x14ac:dyDescent="0.25">
      <c r="A6" s="24"/>
      <c r="B6" s="237" t="s">
        <v>64</v>
      </c>
      <c r="C6" s="237"/>
      <c r="D6" s="237"/>
      <c r="E6" s="237"/>
      <c r="F6" s="237"/>
      <c r="G6" s="237"/>
      <c r="H6" s="237"/>
      <c r="I6" s="237"/>
      <c r="J6" s="99"/>
      <c r="K6" s="85"/>
    </row>
    <row r="7" spans="1:16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16" x14ac:dyDescent="0.25">
      <c r="A9" s="24"/>
      <c r="B9" s="24"/>
      <c r="C9" s="7" t="s">
        <v>186</v>
      </c>
      <c r="D9" s="19"/>
      <c r="E9" s="7" t="s">
        <v>180</v>
      </c>
      <c r="F9" s="20"/>
      <c r="G9" s="8" t="s">
        <v>183</v>
      </c>
      <c r="H9" s="21"/>
      <c r="I9" s="8" t="s">
        <v>184</v>
      </c>
      <c r="J9" s="22"/>
      <c r="K9" s="86">
        <v>8514210</v>
      </c>
    </row>
    <row r="10" spans="1:16" x14ac:dyDescent="0.25">
      <c r="A10" s="24"/>
      <c r="B10" s="24"/>
      <c r="C10" s="19"/>
      <c r="D10" s="19"/>
      <c r="E10" s="19"/>
      <c r="F10" s="20"/>
      <c r="G10" s="21"/>
      <c r="H10" s="21"/>
      <c r="I10" s="22"/>
      <c r="J10" s="22"/>
      <c r="K10" s="86"/>
      <c r="N10" s="12">
        <v>11491899.369999999</v>
      </c>
    </row>
    <row r="11" spans="1:16" x14ac:dyDescent="0.25">
      <c r="A11" s="24"/>
      <c r="B11" s="23"/>
      <c r="C11" s="80"/>
      <c r="D11" s="19"/>
      <c r="E11" s="19"/>
      <c r="F11" s="20"/>
      <c r="G11" s="81"/>
      <c r="H11" s="21"/>
      <c r="I11" s="82"/>
      <c r="J11" s="82"/>
      <c r="K11" s="86"/>
      <c r="N11" s="12">
        <v>9688148.0700000003</v>
      </c>
    </row>
    <row r="12" spans="1:16" ht="13.5" customHeight="1" x14ac:dyDescent="0.25">
      <c r="A12" s="24"/>
      <c r="B12" s="23"/>
      <c r="C12" s="94"/>
      <c r="D12" s="19"/>
      <c r="E12" s="80"/>
      <c r="F12" s="20"/>
      <c r="G12" s="21"/>
      <c r="H12" s="21"/>
      <c r="I12" s="22"/>
      <c r="J12" s="22"/>
      <c r="K12" s="86"/>
      <c r="N12" s="12">
        <f>+N10-N11</f>
        <v>1803751.2999999989</v>
      </c>
    </row>
    <row r="13" spans="1:16" s="4" customFormat="1" ht="20.100000000000001" customHeight="1" x14ac:dyDescent="0.25">
      <c r="A13" s="25"/>
      <c r="B13" s="25" t="s">
        <v>172</v>
      </c>
      <c r="C13" s="27">
        <v>12504727.449999999</v>
      </c>
      <c r="D13" s="52"/>
      <c r="E13" s="52">
        <v>10463555.33</v>
      </c>
      <c r="F13" s="53"/>
      <c r="G13" s="52">
        <f>+C13-E13</f>
        <v>2041172.1199999992</v>
      </c>
      <c r="H13" s="28"/>
      <c r="I13" s="29">
        <f>G13/E13</f>
        <v>0.1950744326976287</v>
      </c>
      <c r="J13" s="29"/>
      <c r="K13" s="83">
        <f>+E13-7045669.19</f>
        <v>3417886.1399999997</v>
      </c>
      <c r="N13" s="5">
        <f>+N12-C23</f>
        <v>-177319.07999999868</v>
      </c>
    </row>
    <row r="14" spans="1:16" s="4" customFormat="1" ht="20.100000000000001" customHeight="1" x14ac:dyDescent="0.25">
      <c r="A14" s="25"/>
      <c r="B14" s="25" t="s">
        <v>173</v>
      </c>
      <c r="C14" s="35">
        <v>13752926.280000001</v>
      </c>
      <c r="D14" s="52"/>
      <c r="E14" s="54">
        <v>11116019.34</v>
      </c>
      <c r="F14" s="53"/>
      <c r="G14" s="54">
        <f>+C14-E14</f>
        <v>2636906.9400000013</v>
      </c>
      <c r="H14" s="28"/>
      <c r="I14" s="29">
        <f>G14/E14</f>
        <v>0.23721683629240622</v>
      </c>
      <c r="J14" s="29"/>
      <c r="K14" s="88">
        <v>11243431.76</v>
      </c>
      <c r="L14" s="5">
        <v>9688148.0700000003</v>
      </c>
      <c r="N14" s="5"/>
      <c r="P14" s="76">
        <f>+E14+E19</f>
        <v>11241333.08</v>
      </c>
    </row>
    <row r="15" spans="1:16" s="4" customFormat="1" ht="20.100000000000001" customHeight="1" x14ac:dyDescent="0.25">
      <c r="A15" s="25"/>
      <c r="B15" s="25" t="s">
        <v>175</v>
      </c>
      <c r="C15" s="93">
        <f>+C13-C14</f>
        <v>-1248198.8300000019</v>
      </c>
      <c r="D15" s="38"/>
      <c r="E15" s="93">
        <v>-652464.00999999978</v>
      </c>
      <c r="F15" s="38"/>
      <c r="G15" s="74">
        <f>+G13-G14</f>
        <v>-595734.82000000216</v>
      </c>
      <c r="H15" s="28"/>
      <c r="I15" s="41">
        <f>-+G15/E15</f>
        <v>-0.91305391695091709</v>
      </c>
      <c r="J15" s="41"/>
      <c r="K15" s="89">
        <f>+O18+[2]Estados!$AJ$86</f>
        <v>136254.9</v>
      </c>
      <c r="L15" s="5">
        <f>112989.86+2098.68</f>
        <v>115088.54</v>
      </c>
      <c r="M15" s="73"/>
    </row>
    <row r="16" spans="1:16" s="4" customFormat="1" ht="20.100000000000001" customHeight="1" x14ac:dyDescent="0.25">
      <c r="A16" s="25"/>
      <c r="B16" s="25"/>
      <c r="C16" s="52"/>
      <c r="D16" s="52"/>
      <c r="E16" s="52"/>
      <c r="F16" s="53"/>
      <c r="G16" s="52"/>
      <c r="H16" s="28"/>
      <c r="I16" s="29"/>
      <c r="J16" s="29"/>
      <c r="K16" s="5">
        <f>+K14-K15</f>
        <v>11107176.859999999</v>
      </c>
      <c r="L16" s="5">
        <f>+L14-L15</f>
        <v>9573059.5300000012</v>
      </c>
    </row>
    <row r="17" spans="1:16" s="4" customFormat="1" ht="20.100000000000001" customHeight="1" x14ac:dyDescent="0.25">
      <c r="A17" s="25"/>
      <c r="B17" s="25"/>
      <c r="C17" s="52"/>
      <c r="D17" s="52"/>
      <c r="E17" s="52"/>
      <c r="F17" s="53"/>
      <c r="G17" s="52"/>
      <c r="H17" s="28"/>
      <c r="I17" s="29"/>
      <c r="J17" s="29"/>
      <c r="K17" s="83">
        <f>+K14-K15</f>
        <v>11107176.859999999</v>
      </c>
      <c r="L17" s="18">
        <f>+L14-L15</f>
        <v>9573059.5300000012</v>
      </c>
    </row>
    <row r="18" spans="1:16" s="4" customFormat="1" ht="20.100000000000001" customHeight="1" x14ac:dyDescent="0.25">
      <c r="A18" s="25"/>
      <c r="B18" s="25" t="s">
        <v>174</v>
      </c>
      <c r="C18" s="52">
        <f>+K27</f>
        <v>3363444.9599999995</v>
      </c>
      <c r="D18" s="66"/>
      <c r="E18" s="52">
        <v>3172890.55</v>
      </c>
      <c r="F18" s="66"/>
      <c r="G18" s="66">
        <f>+C18-E18</f>
        <v>190554.40999999968</v>
      </c>
      <c r="H18" s="28"/>
      <c r="I18" s="29">
        <f>G18/E18</f>
        <v>6.0057038525958513E-2</v>
      </c>
      <c r="J18" s="29"/>
      <c r="K18" s="83"/>
      <c r="N18" s="5">
        <v>2098.6799999999998</v>
      </c>
      <c r="O18" s="5">
        <f>+GETPIVOTDATA("Suma de Nov-16",[2]Pivot!$A$3,"Tipo 3","Ganancia cambiaria")</f>
        <v>2219.29</v>
      </c>
    </row>
    <row r="19" spans="1:16" s="4" customFormat="1" ht="20.100000000000001" customHeight="1" x14ac:dyDescent="0.25">
      <c r="A19" s="25"/>
      <c r="B19" s="25" t="s">
        <v>176</v>
      </c>
      <c r="C19" s="52">
        <v>134035.60999999999</v>
      </c>
      <c r="D19" s="66"/>
      <c r="E19" s="52">
        <v>125313.74</v>
      </c>
      <c r="F19" s="66"/>
      <c r="G19" s="66">
        <f>+C19-E19</f>
        <v>8721.8699999999808</v>
      </c>
      <c r="H19" s="28"/>
      <c r="I19" s="29">
        <f>G19/E19</f>
        <v>6.960026889309967E-2</v>
      </c>
      <c r="J19" s="29"/>
      <c r="K19" s="83"/>
      <c r="M19" s="76">
        <f>+E19+E14</f>
        <v>11241333.08</v>
      </c>
      <c r="N19" s="5">
        <v>2128.4299999999998</v>
      </c>
      <c r="O19" s="5">
        <f>-SUM(GETPIVOTDATA("Suma de Nov-16",[2]Pivot!$A$3,"Tipo 3","Pérdida cambiaria"))</f>
        <v>-2359.4299999999998</v>
      </c>
    </row>
    <row r="20" spans="1:16" s="4" customFormat="1" ht="20.100000000000001" customHeight="1" x14ac:dyDescent="0.25">
      <c r="A20" s="25"/>
      <c r="B20" s="25" t="s">
        <v>187</v>
      </c>
      <c r="C20" s="52">
        <v>-140.13999999999999</v>
      </c>
      <c r="D20" s="66"/>
      <c r="E20" s="52">
        <v>120.61</v>
      </c>
      <c r="F20" s="66"/>
      <c r="G20" s="66">
        <f>+C20-E20</f>
        <v>-260.75</v>
      </c>
      <c r="H20" s="28"/>
      <c r="I20" s="29">
        <f>G20/E20</f>
        <v>-2.1619268717353455</v>
      </c>
      <c r="J20" s="29"/>
      <c r="K20" s="83"/>
      <c r="M20" s="76"/>
      <c r="N20" s="5"/>
      <c r="O20" s="5"/>
    </row>
    <row r="21" spans="1:16" s="4" customFormat="1" ht="20.100000000000001" customHeight="1" x14ac:dyDescent="0.25">
      <c r="A21" s="25"/>
      <c r="B21" s="25" t="s">
        <v>177</v>
      </c>
      <c r="C21" s="61">
        <f>+C18-C19+C20</f>
        <v>3229269.2099999995</v>
      </c>
      <c r="D21" s="56"/>
      <c r="E21" s="61">
        <f>+E18-E19+E20</f>
        <v>3047697.4199999995</v>
      </c>
      <c r="F21" s="57"/>
      <c r="G21" s="61">
        <f>+G18+G19+G20</f>
        <v>199015.52999999968</v>
      </c>
      <c r="H21" s="25"/>
      <c r="I21" s="41">
        <f>G21/E21</f>
        <v>6.5300291523034362E-2</v>
      </c>
      <c r="J21" s="41"/>
      <c r="K21" s="87"/>
      <c r="M21" s="76"/>
      <c r="N21" s="18">
        <f>+N18-N19</f>
        <v>-29.75</v>
      </c>
      <c r="O21" s="18">
        <f>+O18+O19</f>
        <v>-140.13999999999987</v>
      </c>
    </row>
    <row r="22" spans="1:16" ht="18.75" customHeight="1" x14ac:dyDescent="0.25">
      <c r="A22" s="24"/>
      <c r="B22" s="24"/>
      <c r="C22" s="62"/>
      <c r="D22" s="62"/>
      <c r="E22" s="62"/>
      <c r="F22" s="62"/>
      <c r="G22" s="62"/>
      <c r="H22" s="24"/>
      <c r="I22" s="24"/>
      <c r="J22" s="24"/>
      <c r="K22" s="45"/>
    </row>
    <row r="23" spans="1:16" ht="15.75" thickBot="1" x14ac:dyDescent="0.3">
      <c r="A23" s="24"/>
      <c r="B23" s="23" t="s">
        <v>155</v>
      </c>
      <c r="C23" s="63">
        <f>+C21+C15</f>
        <v>1981070.3799999976</v>
      </c>
      <c r="D23" s="64"/>
      <c r="E23" s="63">
        <v>2395233.41</v>
      </c>
      <c r="F23" s="64"/>
      <c r="G23" s="101">
        <f>+G21+G15</f>
        <v>-396719.29000000248</v>
      </c>
      <c r="H23" s="24"/>
      <c r="I23" s="41">
        <f>+G23/E23</f>
        <v>-0.16562865578933389</v>
      </c>
      <c r="J23" s="41"/>
      <c r="K23" s="87">
        <v>1848041.92</v>
      </c>
      <c r="L23" s="12">
        <v>1651343.09</v>
      </c>
    </row>
    <row r="24" spans="1:16" ht="15.75" thickTop="1" x14ac:dyDescent="0.25">
      <c r="A24" s="24"/>
      <c r="B24" s="24"/>
      <c r="C24" s="102"/>
      <c r="D24" s="24"/>
      <c r="E24" s="24"/>
      <c r="F24" s="24"/>
      <c r="G24" s="24"/>
      <c r="H24" s="24"/>
      <c r="I24" s="24"/>
      <c r="K24" s="12">
        <v>1324848.6299999999</v>
      </c>
      <c r="L24" s="12">
        <v>1324217.8799999999</v>
      </c>
    </row>
    <row r="25" spans="1:16" x14ac:dyDescent="0.25">
      <c r="A25" s="24"/>
      <c r="B25" s="24"/>
      <c r="C25" s="62"/>
      <c r="D25" s="24"/>
      <c r="E25" s="62"/>
      <c r="F25" s="24"/>
      <c r="G25" s="62"/>
      <c r="H25" s="24"/>
      <c r="I25" s="24"/>
      <c r="K25" s="90">
        <v>3363444.9599999995</v>
      </c>
      <c r="L25" s="91">
        <f>+L23+L24</f>
        <v>2975560.9699999997</v>
      </c>
      <c r="O25" s="12"/>
    </row>
    <row r="26" spans="1:16" x14ac:dyDescent="0.25">
      <c r="A26" s="24"/>
      <c r="B26" s="24"/>
      <c r="C26" s="62"/>
      <c r="D26" s="24"/>
      <c r="E26" s="24"/>
      <c r="F26" s="24"/>
      <c r="G26" s="24"/>
      <c r="H26" s="24"/>
      <c r="I26" s="24"/>
      <c r="L26" s="12">
        <v>29.75</v>
      </c>
      <c r="O26" s="12"/>
    </row>
    <row r="27" spans="1:16" ht="69.75" customHeight="1" x14ac:dyDescent="0.25">
      <c r="A27" s="24"/>
      <c r="B27" s="103"/>
      <c r="C27" s="24"/>
      <c r="D27" s="24"/>
      <c r="E27" s="241"/>
      <c r="F27" s="241"/>
      <c r="G27" s="241"/>
      <c r="H27" s="24"/>
      <c r="I27" s="24"/>
      <c r="K27" s="12">
        <f>SUM(K25:K26)</f>
        <v>3363444.9599999995</v>
      </c>
      <c r="L27" s="92">
        <f>+L26+L25</f>
        <v>2975590.7199999997</v>
      </c>
      <c r="O27" s="2">
        <f>1324217.88+1461688.19</f>
        <v>2785906.07</v>
      </c>
      <c r="P27" s="12">
        <v>1651343.09</v>
      </c>
    </row>
    <row r="28" spans="1:16" ht="24.75" customHeight="1" x14ac:dyDescent="0.25">
      <c r="A28" s="24"/>
      <c r="B28" s="100" t="s">
        <v>156</v>
      </c>
      <c r="C28" s="24"/>
      <c r="D28" s="24"/>
      <c r="E28" s="239" t="s">
        <v>157</v>
      </c>
      <c r="F28" s="239"/>
      <c r="G28" s="239"/>
      <c r="H28" s="24"/>
      <c r="I28" s="24"/>
      <c r="P28">
        <v>1324217.8799999999</v>
      </c>
    </row>
    <row r="29" spans="1:16" x14ac:dyDescent="0.25">
      <c r="A29" s="24"/>
      <c r="B29" s="24"/>
      <c r="C29" s="24"/>
      <c r="D29" s="24"/>
      <c r="E29" s="24"/>
      <c r="F29" s="24"/>
      <c r="G29" s="24"/>
      <c r="H29" s="24"/>
      <c r="I29" s="24"/>
      <c r="P29" s="12">
        <f>+P28+P27</f>
        <v>2975560.9699999997</v>
      </c>
    </row>
  </sheetData>
  <mergeCells count="6">
    <mergeCell ref="E28:G28"/>
    <mergeCell ref="B3:I3"/>
    <mergeCell ref="B4:I4"/>
    <mergeCell ref="B5:I5"/>
    <mergeCell ref="B6:I6"/>
    <mergeCell ref="E27:G27"/>
  </mergeCells>
  <pageMargins left="0.7" right="0.7" top="0.75" bottom="0.75" header="0.3" footer="0.3"/>
  <pageSetup scale="3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R149"/>
  <sheetViews>
    <sheetView showGridLines="0" tabSelected="1" zoomScaleNormal="100" workbookViewId="0">
      <selection activeCell="B7" sqref="B7:I7"/>
    </sheetView>
  </sheetViews>
  <sheetFormatPr baseColWidth="10" defaultColWidth="0" defaultRowHeight="15" x14ac:dyDescent="0.25"/>
  <cols>
    <col min="1" max="1" width="7.85546875" style="106" customWidth="1"/>
    <col min="2" max="2" width="44.140625" style="106" customWidth="1"/>
    <col min="3" max="3" width="2.42578125" style="106" customWidth="1"/>
    <col min="4" max="4" width="22.140625" style="107" customWidth="1"/>
    <col min="5" max="5" width="3.7109375" style="106" customWidth="1"/>
    <col min="6" max="6" width="17.28515625" style="106" customWidth="1"/>
    <col min="7" max="7" width="4.5703125" style="112" customWidth="1"/>
    <col min="8" max="8" width="14.85546875" style="106" customWidth="1"/>
    <col min="9" max="9" width="13.140625" style="106" customWidth="1"/>
    <col min="10" max="10" width="22" style="106" hidden="1" customWidth="1"/>
    <col min="11" max="11" width="20.140625" style="110" hidden="1" customWidth="1"/>
    <col min="12" max="12" width="25.42578125" style="111" hidden="1" customWidth="1"/>
    <col min="13" max="16384" width="5.140625" style="106" hidden="1"/>
  </cols>
  <sheetData>
    <row r="2" spans="2:18" x14ac:dyDescent="0.25">
      <c r="F2" s="108"/>
      <c r="G2" s="109"/>
      <c r="H2" s="108"/>
    </row>
    <row r="3" spans="2:18" ht="15.75" x14ac:dyDescent="0.25">
      <c r="J3" s="113"/>
    </row>
    <row r="4" spans="2:18" ht="14.1" customHeight="1" x14ac:dyDescent="0.25"/>
    <row r="5" spans="2:18" ht="14.1" customHeight="1" x14ac:dyDescent="0.25">
      <c r="B5" s="243" t="s">
        <v>239</v>
      </c>
      <c r="C5" s="243"/>
      <c r="D5" s="243"/>
      <c r="E5" s="243"/>
      <c r="F5" s="243"/>
      <c r="G5" s="243"/>
      <c r="H5" s="243"/>
      <c r="I5" s="243"/>
    </row>
    <row r="6" spans="2:18" ht="14.1" customHeight="1" x14ac:dyDescent="0.25">
      <c r="B6" s="244" t="s">
        <v>234</v>
      </c>
      <c r="C6" s="244"/>
      <c r="D6" s="244"/>
      <c r="E6" s="244"/>
      <c r="F6" s="244"/>
      <c r="G6" s="244"/>
      <c r="H6" s="244"/>
      <c r="I6" s="244"/>
    </row>
    <row r="7" spans="2:18" ht="14.1" customHeight="1" x14ac:dyDescent="0.25">
      <c r="B7" s="237" t="s">
        <v>241</v>
      </c>
      <c r="C7" s="237"/>
      <c r="D7" s="237"/>
      <c r="E7" s="237"/>
      <c r="F7" s="237"/>
      <c r="G7" s="237"/>
      <c r="H7" s="237"/>
      <c r="I7" s="237"/>
      <c r="J7" s="114"/>
      <c r="K7" s="115"/>
      <c r="L7" s="116"/>
      <c r="M7" s="117"/>
      <c r="N7" s="117"/>
      <c r="O7" s="117"/>
      <c r="P7" s="117"/>
      <c r="Q7" s="117"/>
      <c r="R7" s="117"/>
    </row>
    <row r="8" spans="2:18" ht="14.25" customHeight="1" x14ac:dyDescent="0.25">
      <c r="B8" s="244" t="s">
        <v>64</v>
      </c>
      <c r="C8" s="244"/>
      <c r="D8" s="244"/>
      <c r="E8" s="244"/>
      <c r="F8" s="244"/>
      <c r="G8" s="244"/>
      <c r="H8" s="244"/>
      <c r="I8" s="244"/>
    </row>
    <row r="9" spans="2:18" ht="14.1" customHeight="1" x14ac:dyDescent="0.25">
      <c r="D9" s="118"/>
    </row>
    <row r="10" spans="2:18" ht="27" customHeight="1" x14ac:dyDescent="0.25">
      <c r="D10" s="118"/>
      <c r="H10" s="245" t="s">
        <v>142</v>
      </c>
      <c r="I10" s="245"/>
    </row>
    <row r="11" spans="2:18" ht="14.1" customHeight="1" x14ac:dyDescent="0.25">
      <c r="C11" s="119"/>
      <c r="D11" s="7" t="s">
        <v>240</v>
      </c>
      <c r="E11" s="108"/>
      <c r="F11" s="7" t="s">
        <v>238</v>
      </c>
      <c r="G11" s="121"/>
      <c r="H11" s="120" t="s">
        <v>164</v>
      </c>
      <c r="I11" s="120" t="s">
        <v>184</v>
      </c>
      <c r="J11" s="122" t="s">
        <v>191</v>
      </c>
      <c r="K11" s="122" t="s">
        <v>192</v>
      </c>
      <c r="L11" s="111" t="s">
        <v>193</v>
      </c>
    </row>
    <row r="12" spans="2:18" s="124" customFormat="1" ht="17.25" customHeight="1" x14ac:dyDescent="0.25">
      <c r="B12" s="123" t="s">
        <v>194</v>
      </c>
      <c r="D12" s="125"/>
      <c r="F12" s="126"/>
      <c r="G12" s="127" t="s">
        <v>190</v>
      </c>
      <c r="H12" s="126"/>
      <c r="I12" s="128"/>
      <c r="L12" s="129"/>
    </row>
    <row r="13" spans="2:18" s="124" customFormat="1" ht="15.75" x14ac:dyDescent="0.25">
      <c r="B13" s="124" t="s">
        <v>227</v>
      </c>
      <c r="D13" s="130">
        <v>98518.569999999992</v>
      </c>
      <c r="F13" s="130">
        <v>369221.57000000007</v>
      </c>
      <c r="G13" s="132"/>
      <c r="H13" s="174">
        <f>+D13-F13</f>
        <v>-270703.00000000006</v>
      </c>
      <c r="I13" s="133">
        <f>+H13/F13</f>
        <v>-0.73317222501383117</v>
      </c>
      <c r="J13" s="134">
        <v>1539461.46</v>
      </c>
      <c r="K13" s="135">
        <v>4367482</v>
      </c>
      <c r="L13" s="136">
        <f>+J13-K13</f>
        <v>-2828020.54</v>
      </c>
    </row>
    <row r="14" spans="2:18" s="124" customFormat="1" ht="15.75" x14ac:dyDescent="0.25">
      <c r="B14" s="124" t="s">
        <v>195</v>
      </c>
      <c r="D14" s="130">
        <v>347670.43</v>
      </c>
      <c r="F14" s="130">
        <v>2489325.27</v>
      </c>
      <c r="G14" s="132"/>
      <c r="H14" s="174">
        <f t="shared" ref="H14:H21" si="0">+D14-F14</f>
        <v>-2141654.84</v>
      </c>
      <c r="I14" s="133">
        <f t="shared" ref="I14:I41" si="1">+H14/F14</f>
        <v>-0.86033547556442869</v>
      </c>
      <c r="J14" s="134">
        <v>761568.3</v>
      </c>
      <c r="K14" s="137">
        <v>698548</v>
      </c>
      <c r="L14" s="136">
        <f t="shared" ref="L14:L53" si="2">+J14-K14</f>
        <v>63020.300000000047</v>
      </c>
    </row>
    <row r="15" spans="2:18" s="124" customFormat="1" ht="15.75" x14ac:dyDescent="0.25">
      <c r="B15" s="124" t="s">
        <v>196</v>
      </c>
      <c r="D15" s="130"/>
      <c r="F15" s="130"/>
      <c r="G15" s="132"/>
      <c r="H15" s="174"/>
      <c r="I15" s="133"/>
      <c r="J15" s="134"/>
      <c r="K15" s="137"/>
      <c r="L15" s="136">
        <f t="shared" si="2"/>
        <v>0</v>
      </c>
    </row>
    <row r="16" spans="2:18" s="124" customFormat="1" ht="15.75" x14ac:dyDescent="0.25">
      <c r="B16" s="124" t="s">
        <v>229</v>
      </c>
      <c r="D16" s="130">
        <v>3200752.07</v>
      </c>
      <c r="F16" s="130">
        <v>3280951.01</v>
      </c>
      <c r="G16" s="132"/>
      <c r="H16" s="174">
        <f t="shared" si="0"/>
        <v>-80198.939999999944</v>
      </c>
      <c r="I16" s="133">
        <f t="shared" si="1"/>
        <v>-2.4443809052790443E-2</v>
      </c>
      <c r="J16" s="134">
        <v>0</v>
      </c>
      <c r="K16" s="137">
        <v>0</v>
      </c>
      <c r="L16" s="136">
        <f t="shared" si="2"/>
        <v>0</v>
      </c>
    </row>
    <row r="17" spans="2:12" s="124" customFormat="1" ht="15.75" x14ac:dyDescent="0.25">
      <c r="B17" s="124" t="s">
        <v>228</v>
      </c>
      <c r="D17" s="130">
        <v>141003.01</v>
      </c>
      <c r="F17" s="130">
        <v>133413.31999999998</v>
      </c>
      <c r="G17" s="132"/>
      <c r="H17" s="174">
        <f t="shared" si="0"/>
        <v>7589.6900000000314</v>
      </c>
      <c r="I17" s="133">
        <f t="shared" si="1"/>
        <v>5.688854756031881E-2</v>
      </c>
      <c r="J17" s="134">
        <v>701658.4</v>
      </c>
      <c r="K17" s="137">
        <v>206736</v>
      </c>
      <c r="L17" s="136">
        <f t="shared" si="2"/>
        <v>494922.4</v>
      </c>
    </row>
    <row r="18" spans="2:12" s="124" customFormat="1" ht="15.75" x14ac:dyDescent="0.25">
      <c r="B18" s="124" t="s">
        <v>242</v>
      </c>
      <c r="D18" s="130">
        <v>47246.340000000004</v>
      </c>
      <c r="F18" s="235">
        <v>608.04</v>
      </c>
      <c r="G18" s="132"/>
      <c r="H18" s="174">
        <f>+D18-F18</f>
        <v>46638.3</v>
      </c>
      <c r="I18" s="133">
        <v>1</v>
      </c>
      <c r="J18" s="134"/>
      <c r="K18" s="137"/>
      <c r="L18" s="136"/>
    </row>
    <row r="19" spans="2:12" s="124" customFormat="1" ht="15.75" x14ac:dyDescent="0.25">
      <c r="B19" s="124" t="s">
        <v>197</v>
      </c>
      <c r="G19" s="132"/>
      <c r="H19" s="174"/>
      <c r="I19" s="133"/>
      <c r="J19" s="134"/>
      <c r="K19" s="137"/>
      <c r="L19" s="136">
        <f t="shared" si="2"/>
        <v>0</v>
      </c>
    </row>
    <row r="20" spans="2:12" s="124" customFormat="1" ht="15.75" x14ac:dyDescent="0.25">
      <c r="B20" s="124" t="s">
        <v>198</v>
      </c>
      <c r="D20" s="130">
        <v>1034287.1100000001</v>
      </c>
      <c r="F20" s="130">
        <v>599183.3600000001</v>
      </c>
      <c r="G20" s="132"/>
      <c r="H20" s="174">
        <f t="shared" si="0"/>
        <v>435103.75</v>
      </c>
      <c r="I20" s="133">
        <f t="shared" si="1"/>
        <v>0.72616127056665913</v>
      </c>
      <c r="J20" s="134">
        <v>32893.160000000003</v>
      </c>
      <c r="K20" s="137">
        <v>12667</v>
      </c>
      <c r="L20" s="136">
        <f t="shared" si="2"/>
        <v>20226.160000000003</v>
      </c>
    </row>
    <row r="21" spans="2:12" s="124" customFormat="1" ht="15.75" x14ac:dyDescent="0.25">
      <c r="B21" s="124" t="s">
        <v>199</v>
      </c>
      <c r="D21" s="139">
        <v>902515.23</v>
      </c>
      <c r="F21" s="139">
        <v>745835.23</v>
      </c>
      <c r="G21" s="132"/>
      <c r="H21" s="176">
        <f t="shared" si="0"/>
        <v>156680</v>
      </c>
      <c r="I21" s="133">
        <f t="shared" si="1"/>
        <v>0.21007320879706903</v>
      </c>
      <c r="J21" s="134">
        <v>55403.19</v>
      </c>
      <c r="K21" s="137">
        <v>0</v>
      </c>
      <c r="L21" s="136">
        <f t="shared" si="2"/>
        <v>55403.19</v>
      </c>
    </row>
    <row r="22" spans="2:12" s="124" customFormat="1" ht="10.5" customHeight="1" x14ac:dyDescent="0.25">
      <c r="D22" s="141"/>
      <c r="F22" s="131"/>
      <c r="G22" s="132"/>
      <c r="H22" s="175"/>
      <c r="I22" s="133"/>
      <c r="J22" s="134"/>
      <c r="K22" s="137"/>
      <c r="L22" s="136">
        <f t="shared" si="2"/>
        <v>0</v>
      </c>
    </row>
    <row r="23" spans="2:12" s="124" customFormat="1" ht="13.5" customHeight="1" x14ac:dyDescent="0.25">
      <c r="B23" s="128" t="s">
        <v>200</v>
      </c>
      <c r="D23" s="139">
        <f>+SUM(D13:D21)</f>
        <v>5771992.7599999998</v>
      </c>
      <c r="F23" s="140">
        <f>SUM(F13:F21)</f>
        <v>7618537.8000000007</v>
      </c>
      <c r="G23" s="132"/>
      <c r="H23" s="176">
        <f>SUM(H13:H21)</f>
        <v>-1846545.04</v>
      </c>
      <c r="I23" s="133">
        <f t="shared" si="1"/>
        <v>-0.24237525473720165</v>
      </c>
      <c r="J23" s="134"/>
      <c r="K23" s="137"/>
      <c r="L23" s="136">
        <f t="shared" si="2"/>
        <v>0</v>
      </c>
    </row>
    <row r="24" spans="2:12" s="124" customFormat="1" ht="15.75" x14ac:dyDescent="0.25">
      <c r="D24" s="130"/>
      <c r="F24" s="131"/>
      <c r="G24" s="132"/>
      <c r="H24" s="174"/>
      <c r="I24" s="133"/>
      <c r="J24" s="134"/>
      <c r="K24" s="137"/>
      <c r="L24" s="136">
        <f t="shared" si="2"/>
        <v>0</v>
      </c>
    </row>
    <row r="25" spans="2:12" s="124" customFormat="1" ht="15.75" x14ac:dyDescent="0.25">
      <c r="B25" s="124" t="s">
        <v>230</v>
      </c>
      <c r="D25" s="130">
        <v>44681151.409999996</v>
      </c>
      <c r="F25" s="130">
        <v>44041863.799999997</v>
      </c>
      <c r="G25" s="132"/>
      <c r="H25" s="174">
        <f t="shared" ref="H25:H27" si="3">+D25-F25</f>
        <v>639287.6099999994</v>
      </c>
      <c r="I25" s="133">
        <f t="shared" si="1"/>
        <v>1.4515453135750341E-2</v>
      </c>
      <c r="J25" s="134">
        <v>18212775.129999999</v>
      </c>
      <c r="K25" s="137">
        <v>16436505</v>
      </c>
      <c r="L25" s="136">
        <f>+J25-K25</f>
        <v>1776270.129999999</v>
      </c>
    </row>
    <row r="26" spans="2:12" s="124" customFormat="1" ht="15.75" x14ac:dyDescent="0.25">
      <c r="B26" s="124" t="s">
        <v>201</v>
      </c>
      <c r="D26" s="130">
        <v>161238.03</v>
      </c>
      <c r="F26" s="130">
        <v>164678.25</v>
      </c>
      <c r="G26" s="138"/>
      <c r="H26" s="174">
        <f t="shared" si="3"/>
        <v>-3440.2200000000012</v>
      </c>
      <c r="I26" s="133">
        <f t="shared" si="1"/>
        <v>-2.0890554763607221E-2</v>
      </c>
      <c r="J26" s="134">
        <v>0</v>
      </c>
      <c r="K26" s="137"/>
      <c r="L26" s="136">
        <f t="shared" si="2"/>
        <v>0</v>
      </c>
    </row>
    <row r="27" spans="2:12" s="124" customFormat="1" ht="15.75" x14ac:dyDescent="0.25">
      <c r="B27" s="124" t="s">
        <v>231</v>
      </c>
      <c r="D27" s="130">
        <v>2609189.2699999996</v>
      </c>
      <c r="F27" s="130">
        <v>2675860.7799999993</v>
      </c>
      <c r="G27" s="132"/>
      <c r="H27" s="174">
        <f t="shared" si="3"/>
        <v>-66671.509999999776</v>
      </c>
      <c r="I27" s="133">
        <f t="shared" si="1"/>
        <v>-2.4915911357690213E-2</v>
      </c>
      <c r="J27" s="134">
        <v>1205968.6999999981</v>
      </c>
      <c r="K27" s="137">
        <v>1437150</v>
      </c>
      <c r="L27" s="136">
        <f>+J27-K27</f>
        <v>-231181.30000000191</v>
      </c>
    </row>
    <row r="28" spans="2:12" s="124" customFormat="1" ht="16.5" thickBot="1" x14ac:dyDescent="0.3">
      <c r="B28" s="142" t="s">
        <v>202</v>
      </c>
      <c r="D28" s="143">
        <f>+SUM(D23:D27)</f>
        <v>53223571.469999999</v>
      </c>
      <c r="F28" s="144">
        <f>SUM(F23:F27)</f>
        <v>54500940.629999995</v>
      </c>
      <c r="G28" s="145"/>
      <c r="H28" s="177">
        <f>D28-F28</f>
        <v>-1277369.1599999964</v>
      </c>
      <c r="I28" s="133">
        <f t="shared" si="1"/>
        <v>-2.3437561723418581E-2</v>
      </c>
      <c r="J28" s="137"/>
      <c r="K28" s="146"/>
      <c r="L28" s="136">
        <f t="shared" si="2"/>
        <v>0</v>
      </c>
    </row>
    <row r="29" spans="2:12" s="124" customFormat="1" ht="16.5" thickTop="1" x14ac:dyDescent="0.25">
      <c r="D29" s="147"/>
      <c r="F29" s="148"/>
      <c r="G29" s="149"/>
      <c r="H29" s="174"/>
      <c r="I29" s="133"/>
      <c r="J29" s="150">
        <v>-680981.30000000098</v>
      </c>
      <c r="K29" s="146"/>
      <c r="L29" s="136">
        <f t="shared" si="2"/>
        <v>-680981.30000000098</v>
      </c>
    </row>
    <row r="30" spans="2:12" s="124" customFormat="1" ht="15.75" x14ac:dyDescent="0.25">
      <c r="B30" s="123" t="s">
        <v>203</v>
      </c>
      <c r="D30" s="147"/>
      <c r="F30" s="148"/>
      <c r="G30" s="149"/>
      <c r="H30" s="174"/>
      <c r="I30" s="133"/>
      <c r="K30" s="146"/>
      <c r="L30" s="136">
        <f t="shared" si="2"/>
        <v>0</v>
      </c>
    </row>
    <row r="31" spans="2:12" s="124" customFormat="1" ht="15.75" x14ac:dyDescent="0.25">
      <c r="B31" s="151" t="s">
        <v>204</v>
      </c>
      <c r="D31" s="147"/>
      <c r="F31" s="148"/>
      <c r="G31" s="149"/>
      <c r="H31" s="174"/>
      <c r="I31" s="133"/>
      <c r="K31" s="146"/>
      <c r="L31" s="136">
        <f t="shared" si="2"/>
        <v>0</v>
      </c>
    </row>
    <row r="32" spans="2:12" s="124" customFormat="1" ht="15.75" x14ac:dyDescent="0.25">
      <c r="B32" s="124" t="s">
        <v>232</v>
      </c>
      <c r="D32" s="130">
        <v>114460</v>
      </c>
      <c r="F32" s="130">
        <v>114460</v>
      </c>
      <c r="G32" s="132"/>
      <c r="H32" s="174">
        <f t="shared" ref="H32:H33" si="4">+D32-F32</f>
        <v>0</v>
      </c>
      <c r="I32" s="133">
        <f t="shared" si="1"/>
        <v>0</v>
      </c>
      <c r="K32" s="146">
        <v>833121</v>
      </c>
      <c r="L32" s="136">
        <f>-K32</f>
        <v>-833121</v>
      </c>
    </row>
    <row r="33" spans="2:12" s="124" customFormat="1" ht="15.75" x14ac:dyDescent="0.25">
      <c r="B33" s="124" t="s">
        <v>233</v>
      </c>
      <c r="D33" s="130">
        <v>5087980.0900000008</v>
      </c>
      <c r="F33" s="130">
        <v>4035121.29</v>
      </c>
      <c r="G33" s="132"/>
      <c r="H33" s="174">
        <f t="shared" si="4"/>
        <v>1052858.8000000007</v>
      </c>
      <c r="I33" s="133">
        <f t="shared" si="1"/>
        <v>0.26092370571591933</v>
      </c>
      <c r="J33" s="146">
        <v>863167.11</v>
      </c>
      <c r="K33" s="146">
        <v>667465</v>
      </c>
      <c r="L33" s="136">
        <f t="shared" si="2"/>
        <v>195702.11</v>
      </c>
    </row>
    <row r="34" spans="2:12" s="124" customFormat="1" ht="15.75" x14ac:dyDescent="0.25">
      <c r="B34" s="142" t="s">
        <v>205</v>
      </c>
      <c r="D34" s="152">
        <f>+SUM(D32:D33)</f>
        <v>5202440.0900000008</v>
      </c>
      <c r="F34" s="153">
        <f>+F33+F32</f>
        <v>4149581.29</v>
      </c>
      <c r="G34" s="145"/>
      <c r="H34" s="178">
        <f>D34-F34</f>
        <v>1052858.8000000007</v>
      </c>
      <c r="I34" s="133">
        <f t="shared" si="1"/>
        <v>0.25372651513955535</v>
      </c>
      <c r="J34" s="126"/>
      <c r="K34" s="135"/>
      <c r="L34" s="136">
        <f t="shared" si="2"/>
        <v>0</v>
      </c>
    </row>
    <row r="35" spans="2:12" s="124" customFormat="1" ht="15.75" x14ac:dyDescent="0.25">
      <c r="B35" s="154"/>
      <c r="D35" s="155"/>
      <c r="F35" s="145"/>
      <c r="G35" s="145"/>
      <c r="H35" s="174"/>
      <c r="I35" s="133"/>
      <c r="J35" s="126"/>
      <c r="K35" s="135"/>
      <c r="L35" s="136">
        <f t="shared" si="2"/>
        <v>0</v>
      </c>
    </row>
    <row r="36" spans="2:12" s="124" customFormat="1" ht="15.75" x14ac:dyDescent="0.25">
      <c r="B36" s="154" t="s">
        <v>206</v>
      </c>
      <c r="D36" s="130"/>
      <c r="F36" s="131"/>
      <c r="G36" s="132"/>
      <c r="H36" s="174"/>
      <c r="I36" s="133"/>
      <c r="J36" s="156"/>
      <c r="K36" s="157"/>
      <c r="L36" s="136">
        <f t="shared" si="2"/>
        <v>0</v>
      </c>
    </row>
    <row r="37" spans="2:12" s="124" customFormat="1" ht="15.75" x14ac:dyDescent="0.25">
      <c r="B37" s="126" t="s">
        <v>207</v>
      </c>
      <c r="C37" s="126"/>
      <c r="D37" s="130">
        <v>50000000</v>
      </c>
      <c r="E37" s="126"/>
      <c r="F37" s="130">
        <v>50000000</v>
      </c>
      <c r="G37" s="132"/>
      <c r="H37" s="174">
        <f t="shared" ref="H37:H39" si="5">+D37-F37</f>
        <v>0</v>
      </c>
      <c r="I37" s="133">
        <f t="shared" si="1"/>
        <v>0</v>
      </c>
      <c r="J37" s="157">
        <v>22100000</v>
      </c>
      <c r="K37" s="157">
        <v>22100000</v>
      </c>
      <c r="L37" s="136">
        <f t="shared" si="2"/>
        <v>0</v>
      </c>
    </row>
    <row r="38" spans="2:12" s="124" customFormat="1" ht="15.75" x14ac:dyDescent="0.25">
      <c r="B38" s="124" t="s">
        <v>208</v>
      </c>
      <c r="D38" s="158">
        <v>-4274233.8199999994</v>
      </c>
      <c r="F38" s="158">
        <v>-4274233.8199999994</v>
      </c>
      <c r="G38" s="159"/>
      <c r="H38" s="174">
        <f t="shared" si="5"/>
        <v>0</v>
      </c>
      <c r="I38" s="133">
        <f t="shared" si="1"/>
        <v>0</v>
      </c>
      <c r="J38" s="157">
        <f>-1444806.63-446591.88</f>
        <v>-1891398.5099999998</v>
      </c>
      <c r="K38" s="157">
        <v>-1444806.51</v>
      </c>
      <c r="L38" s="136">
        <f t="shared" si="2"/>
        <v>-446591.99999999977</v>
      </c>
    </row>
    <row r="39" spans="2:12" s="124" customFormat="1" ht="15.75" x14ac:dyDescent="0.25">
      <c r="B39" s="124" t="s">
        <v>209</v>
      </c>
      <c r="D39" s="158">
        <v>2295364.620000001</v>
      </c>
      <c r="F39" s="158">
        <v>4625593.16</v>
      </c>
      <c r="G39" s="132"/>
      <c r="H39" s="174">
        <f t="shared" si="5"/>
        <v>-2330228.5399999991</v>
      </c>
      <c r="I39" s="133">
        <f t="shared" si="1"/>
        <v>-0.50376858910782352</v>
      </c>
      <c r="J39" s="157">
        <f>+'[3]Estado de Resultados'!E25</f>
        <v>-1400330</v>
      </c>
      <c r="K39" s="157">
        <v>-446592</v>
      </c>
      <c r="L39" s="136">
        <f t="shared" si="2"/>
        <v>-953738</v>
      </c>
    </row>
    <row r="40" spans="2:12" s="124" customFormat="1" ht="15.75" x14ac:dyDescent="0.25">
      <c r="B40" s="142" t="s">
        <v>210</v>
      </c>
      <c r="D40" s="152">
        <f>+SUM(D37:D39)</f>
        <v>48021130.799999997</v>
      </c>
      <c r="F40" s="153">
        <f>+SUM(F37:F39)</f>
        <v>50351359.340000004</v>
      </c>
      <c r="G40" s="145"/>
      <c r="H40" s="178">
        <f t="shared" ref="H40:H41" si="6">D40-F40</f>
        <v>-2330228.5400000066</v>
      </c>
      <c r="I40" s="133">
        <f t="shared" si="1"/>
        <v>-4.6279357112586079E-2</v>
      </c>
      <c r="J40" s="129"/>
      <c r="K40" s="157"/>
      <c r="L40" s="136">
        <f t="shared" si="2"/>
        <v>0</v>
      </c>
    </row>
    <row r="41" spans="2:12" s="124" customFormat="1" ht="20.25" customHeight="1" thickBot="1" x14ac:dyDescent="0.3">
      <c r="B41" s="142" t="s">
        <v>211</v>
      </c>
      <c r="D41" s="160">
        <f>+D34+D40</f>
        <v>53223570.890000001</v>
      </c>
      <c r="F41" s="161">
        <f>+F34+F40</f>
        <v>54500940.630000003</v>
      </c>
      <c r="G41" s="145"/>
      <c r="H41" s="179">
        <f t="shared" si="6"/>
        <v>-1277369.7400000021</v>
      </c>
      <c r="I41" s="133">
        <f t="shared" si="1"/>
        <v>-2.3437572365436844E-2</v>
      </c>
      <c r="K41" s="157"/>
      <c r="L41" s="136">
        <f t="shared" si="2"/>
        <v>0</v>
      </c>
    </row>
    <row r="42" spans="2:12" s="124" customFormat="1" ht="16.5" thickTop="1" x14ac:dyDescent="0.25">
      <c r="D42" s="162"/>
      <c r="E42" s="163"/>
      <c r="F42" s="164"/>
      <c r="G42" s="165"/>
      <c r="H42" s="163"/>
      <c r="K42" s="146"/>
      <c r="L42" s="136">
        <f t="shared" si="2"/>
        <v>0</v>
      </c>
    </row>
    <row r="43" spans="2:12" s="124" customFormat="1" ht="15.75" x14ac:dyDescent="0.25">
      <c r="D43" s="163"/>
      <c r="F43" s="163"/>
      <c r="G43" s="166"/>
      <c r="I43" s="167"/>
      <c r="K43" s="146"/>
      <c r="L43" s="136">
        <f t="shared" si="2"/>
        <v>0</v>
      </c>
    </row>
    <row r="44" spans="2:12" s="124" customFormat="1" ht="15.75" x14ac:dyDescent="0.25">
      <c r="D44" s="168"/>
      <c r="F44" s="169"/>
      <c r="G44" s="170"/>
      <c r="H44" s="169"/>
      <c r="I44" s="126"/>
      <c r="J44" s="126"/>
      <c r="K44" s="135"/>
      <c r="L44" s="136">
        <f t="shared" si="2"/>
        <v>0</v>
      </c>
    </row>
    <row r="45" spans="2:12" s="124" customFormat="1" ht="20.100000000000001" customHeight="1" x14ac:dyDescent="0.25">
      <c r="D45" s="125"/>
      <c r="G45" s="166"/>
      <c r="I45" s="171"/>
      <c r="J45" s="171"/>
      <c r="K45" s="137"/>
      <c r="L45" s="136">
        <f t="shared" si="2"/>
        <v>0</v>
      </c>
    </row>
    <row r="46" spans="2:12" s="124" customFormat="1" ht="20.100000000000001" customHeight="1" x14ac:dyDescent="0.25">
      <c r="D46" s="125"/>
      <c r="G46" s="166"/>
      <c r="I46" s="156"/>
      <c r="J46" s="156"/>
      <c r="K46" s="137"/>
      <c r="L46" s="136">
        <f t="shared" si="2"/>
        <v>0</v>
      </c>
    </row>
    <row r="47" spans="2:12" s="124" customFormat="1" ht="20.100000000000001" customHeight="1" x14ac:dyDescent="0.25">
      <c r="B47" s="223"/>
      <c r="C47" s="217"/>
      <c r="D47" s="181"/>
      <c r="E47" s="246"/>
      <c r="F47" s="246"/>
      <c r="G47" s="246"/>
      <c r="H47" s="225"/>
      <c r="I47" s="127"/>
      <c r="J47" s="132"/>
      <c r="K47" s="137"/>
      <c r="L47" s="136">
        <f t="shared" si="2"/>
        <v>0</v>
      </c>
    </row>
    <row r="48" spans="2:12" s="124" customFormat="1" ht="20.100000000000001" customHeight="1" x14ac:dyDescent="0.25">
      <c r="B48" s="224" t="s">
        <v>235</v>
      </c>
      <c r="C48" s="181"/>
      <c r="D48" s="181"/>
      <c r="E48" s="242" t="s">
        <v>157</v>
      </c>
      <c r="F48" s="242"/>
      <c r="G48" s="242"/>
      <c r="H48" s="242"/>
      <c r="I48" s="132"/>
      <c r="J48" s="132"/>
      <c r="K48" s="137"/>
      <c r="L48" s="136">
        <f t="shared" si="2"/>
        <v>0</v>
      </c>
    </row>
    <row r="49" spans="2:12" s="124" customFormat="1" ht="20.100000000000001" customHeight="1" x14ac:dyDescent="0.25">
      <c r="B49" s="24"/>
      <c r="C49" s="24"/>
      <c r="D49" s="24"/>
      <c r="E49" s="24"/>
      <c r="F49" s="24"/>
      <c r="G49" s="24"/>
      <c r="K49" s="146"/>
      <c r="L49" s="136">
        <f t="shared" si="2"/>
        <v>0</v>
      </c>
    </row>
    <row r="50" spans="2:12" s="124" customFormat="1" ht="20.100000000000001" customHeight="1" thickBot="1" x14ac:dyDescent="0.3">
      <c r="B50"/>
      <c r="C50"/>
      <c r="D50"/>
      <c r="E50"/>
      <c r="F50"/>
      <c r="G50"/>
      <c r="H50" s="146"/>
      <c r="K50" s="146"/>
      <c r="L50" s="136">
        <f t="shared" si="2"/>
        <v>0</v>
      </c>
    </row>
    <row r="51" spans="2:12" s="124" customFormat="1" ht="15.75" x14ac:dyDescent="0.25">
      <c r="B51" s="228"/>
      <c r="C51" s="229"/>
      <c r="D51" s="230"/>
      <c r="E51"/>
      <c r="F51"/>
      <c r="G51"/>
      <c r="K51" s="146"/>
      <c r="L51" s="136">
        <f t="shared" si="2"/>
        <v>0</v>
      </c>
    </row>
    <row r="52" spans="2:12" s="124" customFormat="1" ht="15.75" x14ac:dyDescent="0.25">
      <c r="B52" s="231" t="s">
        <v>202</v>
      </c>
      <c r="C52" s="166"/>
      <c r="D52" s="232">
        <v>53943857.109999999</v>
      </c>
      <c r="G52" s="166"/>
      <c r="K52" s="146"/>
      <c r="L52" s="136">
        <f t="shared" si="2"/>
        <v>0</v>
      </c>
    </row>
    <row r="53" spans="2:12" s="124" customFormat="1" ht="15.75" x14ac:dyDescent="0.25">
      <c r="B53" s="231" t="s">
        <v>205</v>
      </c>
      <c r="C53" s="166"/>
      <c r="D53" s="232">
        <v>3573028.7700000005</v>
      </c>
      <c r="G53" s="166"/>
      <c r="K53" s="146"/>
      <c r="L53" s="136">
        <f t="shared" si="2"/>
        <v>0</v>
      </c>
    </row>
    <row r="54" spans="2:12" s="124" customFormat="1" ht="15.75" x14ac:dyDescent="0.25">
      <c r="B54" s="231" t="s">
        <v>210</v>
      </c>
      <c r="C54" s="166"/>
      <c r="D54" s="232">
        <v>50370828.340000004</v>
      </c>
      <c r="G54" s="166"/>
      <c r="K54" s="146"/>
      <c r="L54" s="129"/>
    </row>
    <row r="55" spans="2:12" s="124" customFormat="1" ht="15.75" x14ac:dyDescent="0.25">
      <c r="B55" s="233" t="s">
        <v>237</v>
      </c>
      <c r="C55" s="225"/>
      <c r="D55" s="234">
        <v>4645062.1600000039</v>
      </c>
      <c r="G55" s="166"/>
      <c r="K55" s="146"/>
      <c r="L55" s="129"/>
    </row>
    <row r="56" spans="2:12" s="124" customFormat="1" ht="15.75" x14ac:dyDescent="0.25">
      <c r="D56" s="125"/>
      <c r="G56" s="166"/>
      <c r="K56" s="146"/>
      <c r="L56" s="129"/>
    </row>
    <row r="57" spans="2:12" s="124" customFormat="1" ht="15.75" hidden="1" x14ac:dyDescent="0.25">
      <c r="D57" s="125"/>
      <c r="G57" s="166"/>
      <c r="K57" s="146"/>
      <c r="L57" s="129"/>
    </row>
    <row r="58" spans="2:12" s="124" customFormat="1" ht="15.75" hidden="1" customHeight="1" x14ac:dyDescent="0.25">
      <c r="B58" s="142" t="s">
        <v>212</v>
      </c>
      <c r="D58" s="125"/>
      <c r="G58" s="166"/>
      <c r="K58" s="146"/>
      <c r="L58" s="129"/>
    </row>
    <row r="59" spans="2:12" s="124" customFormat="1" ht="15.75" hidden="1" customHeight="1" x14ac:dyDescent="0.25">
      <c r="B59" s="142" t="s">
        <v>213</v>
      </c>
      <c r="D59" s="125"/>
      <c r="G59" s="166"/>
      <c r="K59" s="146"/>
      <c r="L59" s="129"/>
    </row>
    <row r="60" spans="2:12" s="124" customFormat="1" ht="15.75" hidden="1" x14ac:dyDescent="0.25">
      <c r="B60" s="142"/>
      <c r="D60" s="125"/>
      <c r="G60" s="166"/>
      <c r="K60" s="146"/>
      <c r="L60" s="129"/>
    </row>
    <row r="61" spans="2:12" s="124" customFormat="1" ht="15.75" hidden="1" customHeight="1" x14ac:dyDescent="0.25">
      <c r="B61" s="142" t="s">
        <v>214</v>
      </c>
      <c r="D61" s="125"/>
      <c r="G61" s="166"/>
      <c r="K61" s="146"/>
      <c r="L61" s="129"/>
    </row>
    <row r="62" spans="2:12" s="124" customFormat="1" ht="15.75" hidden="1" customHeight="1" x14ac:dyDescent="0.25">
      <c r="B62" s="142" t="s">
        <v>215</v>
      </c>
      <c r="D62" s="125"/>
      <c r="G62" s="166"/>
      <c r="K62" s="146"/>
      <c r="L62" s="129"/>
    </row>
    <row r="63" spans="2:12" s="124" customFormat="1" ht="15.75" hidden="1" customHeight="1" x14ac:dyDescent="0.25">
      <c r="B63" s="128" t="s">
        <v>216</v>
      </c>
      <c r="D63" s="125"/>
      <c r="G63" s="166"/>
      <c r="K63" s="146"/>
      <c r="L63" s="129"/>
    </row>
    <row r="64" spans="2:12" s="124" customFormat="1" ht="15.75" hidden="1" x14ac:dyDescent="0.25">
      <c r="D64" s="125"/>
      <c r="G64" s="166"/>
      <c r="K64" s="146"/>
      <c r="L64" s="129"/>
    </row>
    <row r="65" spans="2:12" s="124" customFormat="1" ht="15.75" hidden="1" x14ac:dyDescent="0.25">
      <c r="D65" s="125"/>
      <c r="G65" s="166"/>
      <c r="K65" s="146"/>
      <c r="L65" s="129"/>
    </row>
    <row r="66" spans="2:12" s="124" customFormat="1" ht="15.75" hidden="1" x14ac:dyDescent="0.25">
      <c r="B66" s="142" t="s">
        <v>194</v>
      </c>
      <c r="D66" s="125"/>
      <c r="G66" s="166"/>
      <c r="K66" s="146"/>
      <c r="L66" s="129"/>
    </row>
    <row r="67" spans="2:12" s="124" customFormat="1" ht="15.75" hidden="1" x14ac:dyDescent="0.25">
      <c r="B67" s="154"/>
      <c r="D67" s="125"/>
      <c r="G67" s="166"/>
      <c r="K67" s="146"/>
      <c r="L67" s="129"/>
    </row>
    <row r="68" spans="2:12" s="124" customFormat="1" ht="15.75" hidden="1" x14ac:dyDescent="0.25">
      <c r="B68" s="124" t="s">
        <v>217</v>
      </c>
      <c r="D68" s="125"/>
      <c r="G68" s="166"/>
      <c r="K68" s="146"/>
      <c r="L68" s="129"/>
    </row>
    <row r="69" spans="2:12" s="124" customFormat="1" ht="15.75" hidden="1" x14ac:dyDescent="0.25">
      <c r="B69" s="124" t="s">
        <v>218</v>
      </c>
      <c r="D69" s="125"/>
      <c r="G69" s="166"/>
      <c r="K69" s="146"/>
      <c r="L69" s="129"/>
    </row>
    <row r="70" spans="2:12" s="124" customFormat="1" ht="15.75" hidden="1" x14ac:dyDescent="0.25">
      <c r="B70" s="124" t="s">
        <v>219</v>
      </c>
      <c r="D70" s="125"/>
      <c r="G70" s="166"/>
      <c r="K70" s="146"/>
      <c r="L70" s="129"/>
    </row>
    <row r="71" spans="2:12" s="124" customFormat="1" ht="15.75" hidden="1" x14ac:dyDescent="0.25">
      <c r="B71" s="124" t="s">
        <v>220</v>
      </c>
      <c r="D71" s="125"/>
      <c r="G71" s="166"/>
      <c r="K71" s="146"/>
      <c r="L71" s="129"/>
    </row>
    <row r="72" spans="2:12" s="124" customFormat="1" ht="15.75" hidden="1" x14ac:dyDescent="0.25">
      <c r="B72" s="154" t="s">
        <v>202</v>
      </c>
      <c r="D72" s="125"/>
      <c r="G72" s="166"/>
      <c r="K72" s="146"/>
      <c r="L72" s="129"/>
    </row>
    <row r="73" spans="2:12" s="124" customFormat="1" ht="15.75" hidden="1" x14ac:dyDescent="0.25">
      <c r="D73" s="125"/>
      <c r="G73" s="166"/>
      <c r="K73" s="146"/>
      <c r="L73" s="129"/>
    </row>
    <row r="74" spans="2:12" s="124" customFormat="1" ht="15.75" hidden="1" x14ac:dyDescent="0.25">
      <c r="B74" s="142" t="s">
        <v>203</v>
      </c>
      <c r="D74" s="125"/>
      <c r="G74" s="166"/>
      <c r="K74" s="146"/>
      <c r="L74" s="129"/>
    </row>
    <row r="75" spans="2:12" s="124" customFormat="1" ht="15.75" hidden="1" x14ac:dyDescent="0.25">
      <c r="B75" s="154"/>
      <c r="D75" s="125"/>
      <c r="G75" s="166"/>
      <c r="K75" s="146"/>
      <c r="L75" s="129"/>
    </row>
    <row r="76" spans="2:12" s="124" customFormat="1" ht="15.75" hidden="1" x14ac:dyDescent="0.25">
      <c r="B76" s="124" t="s">
        <v>221</v>
      </c>
      <c r="D76" s="125"/>
      <c r="G76" s="166"/>
      <c r="K76" s="146"/>
      <c r="L76" s="129"/>
    </row>
    <row r="77" spans="2:12" s="124" customFormat="1" ht="15.75" hidden="1" x14ac:dyDescent="0.25">
      <c r="D77" s="125"/>
      <c r="G77" s="166"/>
      <c r="K77" s="146"/>
      <c r="L77" s="129"/>
    </row>
    <row r="78" spans="2:12" s="124" customFormat="1" ht="15.75" hidden="1" x14ac:dyDescent="0.25">
      <c r="B78" s="124" t="s">
        <v>206</v>
      </c>
      <c r="D78" s="125"/>
      <c r="G78" s="166"/>
      <c r="K78" s="146"/>
      <c r="L78" s="129"/>
    </row>
    <row r="79" spans="2:12" s="124" customFormat="1" ht="15.75" hidden="1" x14ac:dyDescent="0.25">
      <c r="B79" s="124" t="s">
        <v>222</v>
      </c>
      <c r="D79" s="125"/>
      <c r="G79" s="166"/>
      <c r="K79" s="146"/>
      <c r="L79" s="129"/>
    </row>
    <row r="80" spans="2:12" s="124" customFormat="1" ht="15.75" hidden="1" x14ac:dyDescent="0.25">
      <c r="B80" s="124" t="s">
        <v>223</v>
      </c>
      <c r="D80" s="125"/>
      <c r="G80" s="166"/>
      <c r="K80" s="146"/>
      <c r="L80" s="129"/>
    </row>
    <row r="81" spans="2:12" s="124" customFormat="1" ht="15.75" hidden="1" x14ac:dyDescent="0.25">
      <c r="B81" s="124" t="s">
        <v>224</v>
      </c>
      <c r="D81" s="125"/>
      <c r="G81" s="166"/>
      <c r="K81" s="146"/>
      <c r="L81" s="129"/>
    </row>
    <row r="82" spans="2:12" s="124" customFormat="1" ht="15.75" hidden="1" x14ac:dyDescent="0.25">
      <c r="B82" s="154" t="s">
        <v>225</v>
      </c>
      <c r="D82" s="125"/>
      <c r="G82" s="166"/>
      <c r="K82" s="146"/>
      <c r="L82" s="129"/>
    </row>
    <row r="83" spans="2:12" s="124" customFormat="1" ht="15.75" hidden="1" x14ac:dyDescent="0.25">
      <c r="D83" s="125"/>
      <c r="G83" s="166"/>
      <c r="K83" s="146"/>
      <c r="L83" s="129"/>
    </row>
    <row r="84" spans="2:12" s="124" customFormat="1" ht="15.75" hidden="1" x14ac:dyDescent="0.25">
      <c r="D84" s="125"/>
      <c r="G84" s="166"/>
      <c r="K84" s="146"/>
      <c r="L84" s="129"/>
    </row>
    <row r="85" spans="2:12" s="124" customFormat="1" ht="15.75" hidden="1" x14ac:dyDescent="0.25">
      <c r="D85" s="125"/>
      <c r="G85" s="166"/>
      <c r="K85" s="146"/>
      <c r="L85" s="129"/>
    </row>
    <row r="86" spans="2:12" s="124" customFormat="1" ht="15.75" hidden="1" x14ac:dyDescent="0.25">
      <c r="D86" s="125"/>
      <c r="G86" s="166"/>
      <c r="K86" s="146"/>
      <c r="L86" s="129"/>
    </row>
    <row r="87" spans="2:12" s="124" customFormat="1" ht="15.75" x14ac:dyDescent="0.25">
      <c r="D87" s="125"/>
      <c r="G87" s="166"/>
      <c r="K87" s="146"/>
      <c r="L87" s="129"/>
    </row>
    <row r="88" spans="2:12" s="124" customFormat="1" ht="15.75" x14ac:dyDescent="0.25">
      <c r="D88" s="125"/>
      <c r="G88" s="166"/>
      <c r="K88" s="146"/>
      <c r="L88" s="129"/>
    </row>
    <row r="89" spans="2:12" s="124" customFormat="1" ht="15.75" x14ac:dyDescent="0.25">
      <c r="D89" s="125"/>
      <c r="G89" s="166"/>
      <c r="K89" s="146"/>
      <c r="L89" s="129"/>
    </row>
    <row r="90" spans="2:12" s="124" customFormat="1" ht="15.75" x14ac:dyDescent="0.25">
      <c r="D90" s="125"/>
      <c r="G90" s="166"/>
      <c r="K90" s="146"/>
      <c r="L90" s="129"/>
    </row>
    <row r="91" spans="2:12" s="124" customFormat="1" ht="15.75" x14ac:dyDescent="0.25">
      <c r="D91" s="125"/>
      <c r="G91" s="166"/>
      <c r="K91" s="146"/>
      <c r="L91" s="129"/>
    </row>
    <row r="92" spans="2:12" s="124" customFormat="1" ht="15.75" x14ac:dyDescent="0.25">
      <c r="D92" s="125"/>
      <c r="G92" s="166"/>
      <c r="K92" s="146"/>
      <c r="L92" s="129"/>
    </row>
    <row r="97" spans="2:2" hidden="1" x14ac:dyDescent="0.25"/>
    <row r="98" spans="2:2" hidden="1" x14ac:dyDescent="0.25"/>
    <row r="99" spans="2:2" hidden="1" x14ac:dyDescent="0.25"/>
    <row r="100" spans="2:2" hidden="1" x14ac:dyDescent="0.25"/>
    <row r="101" spans="2:2" ht="15.75" hidden="1" customHeight="1" x14ac:dyDescent="0.25">
      <c r="B101" s="172" t="s">
        <v>212</v>
      </c>
    </row>
    <row r="102" spans="2:2" ht="15.75" hidden="1" customHeight="1" x14ac:dyDescent="0.25">
      <c r="B102" s="172" t="s">
        <v>213</v>
      </c>
    </row>
    <row r="103" spans="2:2" hidden="1" x14ac:dyDescent="0.25">
      <c r="B103" s="172"/>
    </row>
    <row r="104" spans="2:2" ht="15.75" hidden="1" customHeight="1" x14ac:dyDescent="0.25">
      <c r="B104" s="172" t="s">
        <v>214</v>
      </c>
    </row>
    <row r="105" spans="2:2" ht="15.75" hidden="1" customHeight="1" x14ac:dyDescent="0.25">
      <c r="B105" s="172" t="s">
        <v>226</v>
      </c>
    </row>
    <row r="106" spans="2:2" ht="15.75" hidden="1" customHeight="1" x14ac:dyDescent="0.25">
      <c r="B106" s="173" t="s">
        <v>216</v>
      </c>
    </row>
    <row r="107" spans="2:2" hidden="1" x14ac:dyDescent="0.25"/>
    <row r="108" spans="2:2" hidden="1" x14ac:dyDescent="0.25"/>
    <row r="109" spans="2:2" hidden="1" x14ac:dyDescent="0.25">
      <c r="B109" s="172" t="s">
        <v>194</v>
      </c>
    </row>
    <row r="110" spans="2:2" hidden="1" x14ac:dyDescent="0.25">
      <c r="B110" s="119"/>
    </row>
    <row r="111" spans="2:2" hidden="1" x14ac:dyDescent="0.25">
      <c r="B111" s="106" t="s">
        <v>217</v>
      </c>
    </row>
    <row r="112" spans="2:2" hidden="1" x14ac:dyDescent="0.25">
      <c r="B112" s="106" t="s">
        <v>218</v>
      </c>
    </row>
    <row r="113" spans="2:2" hidden="1" x14ac:dyDescent="0.25">
      <c r="B113" s="106" t="s">
        <v>219</v>
      </c>
    </row>
    <row r="114" spans="2:2" hidden="1" x14ac:dyDescent="0.25">
      <c r="B114" s="106" t="s">
        <v>220</v>
      </c>
    </row>
    <row r="115" spans="2:2" hidden="1" x14ac:dyDescent="0.25">
      <c r="B115" s="119" t="s">
        <v>202</v>
      </c>
    </row>
    <row r="116" spans="2:2" hidden="1" x14ac:dyDescent="0.25"/>
    <row r="117" spans="2:2" hidden="1" x14ac:dyDescent="0.25">
      <c r="B117" s="172" t="s">
        <v>203</v>
      </c>
    </row>
    <row r="118" spans="2:2" hidden="1" x14ac:dyDescent="0.25">
      <c r="B118" s="119"/>
    </row>
    <row r="119" spans="2:2" hidden="1" x14ac:dyDescent="0.25">
      <c r="B119" s="106" t="s">
        <v>221</v>
      </c>
    </row>
    <row r="120" spans="2:2" hidden="1" x14ac:dyDescent="0.25"/>
    <row r="121" spans="2:2" hidden="1" x14ac:dyDescent="0.25">
      <c r="B121" s="106" t="s">
        <v>206</v>
      </c>
    </row>
    <row r="122" spans="2:2" hidden="1" x14ac:dyDescent="0.25">
      <c r="B122" s="106" t="s">
        <v>222</v>
      </c>
    </row>
    <row r="123" spans="2:2" hidden="1" x14ac:dyDescent="0.25">
      <c r="B123" s="106" t="s">
        <v>223</v>
      </c>
    </row>
    <row r="124" spans="2:2" hidden="1" x14ac:dyDescent="0.25">
      <c r="B124" s="106" t="s">
        <v>224</v>
      </c>
    </row>
    <row r="125" spans="2:2" hidden="1" x14ac:dyDescent="0.25">
      <c r="B125" s="119" t="s">
        <v>225</v>
      </c>
    </row>
    <row r="126" spans="2:2" hidden="1" x14ac:dyDescent="0.25"/>
    <row r="127" spans="2:2" hidden="1" x14ac:dyDescent="0.25"/>
    <row r="128" spans="2:2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</sheetData>
  <mergeCells count="7">
    <mergeCell ref="E48:H48"/>
    <mergeCell ref="B5:I5"/>
    <mergeCell ref="B6:I6"/>
    <mergeCell ref="B7:I7"/>
    <mergeCell ref="B8:I8"/>
    <mergeCell ref="H10:I10"/>
    <mergeCell ref="E47:G47"/>
  </mergeCells>
  <printOptions horizontalCentered="1"/>
  <pageMargins left="0.35433070866141736" right="0.47244094488188981" top="0.98425196850393704" bottom="0.98425196850393704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topLeftCell="A12" zoomScale="85" zoomScaleNormal="85" workbookViewId="0">
      <selection activeCell="H28" sqref="H28"/>
    </sheetView>
  </sheetViews>
  <sheetFormatPr baseColWidth="10" defaultRowHeight="15" x14ac:dyDescent="0.25"/>
  <cols>
    <col min="1" max="1" width="6.7109375" customWidth="1"/>
    <col min="2" max="2" width="35" customWidth="1"/>
    <col min="3" max="3" width="17.42578125" customWidth="1"/>
    <col min="4" max="4" width="5" customWidth="1"/>
    <col min="5" max="5" width="18.42578125" customWidth="1"/>
    <col min="6" max="6" width="6" customWidth="1"/>
    <col min="7" max="7" width="16.42578125" customWidth="1"/>
    <col min="8" max="8" width="4.28515625" customWidth="1"/>
    <col min="9" max="9" width="11" customWidth="1"/>
    <col min="10" max="10" width="23.42578125" customWidth="1"/>
    <col min="11" max="11" width="19.5703125" style="12" hidden="1" customWidth="1"/>
    <col min="12" max="12" width="13.140625" hidden="1" customWidth="1"/>
    <col min="13" max="13" width="0" hidden="1" customWidth="1"/>
    <col min="14" max="14" width="17.28515625" hidden="1" customWidth="1"/>
    <col min="15" max="15" width="13.85546875" hidden="1" customWidth="1"/>
    <col min="16" max="16" width="13.140625" hidden="1" customWidth="1"/>
    <col min="17" max="17" width="14.140625" bestFit="1" customWidth="1"/>
  </cols>
  <sheetData>
    <row r="1" spans="1:17" x14ac:dyDescent="0.25">
      <c r="A1" s="24"/>
      <c r="B1" s="24"/>
      <c r="C1" s="24"/>
      <c r="D1" s="24"/>
      <c r="E1" s="25"/>
      <c r="F1" s="25"/>
      <c r="G1" s="24"/>
      <c r="H1" s="24"/>
      <c r="I1" s="24"/>
    </row>
    <row r="2" spans="1:17" x14ac:dyDescent="0.25">
      <c r="A2" s="24"/>
      <c r="B2" s="24"/>
      <c r="C2" s="24"/>
      <c r="D2" s="24"/>
      <c r="E2" s="25"/>
      <c r="F2" s="25"/>
      <c r="G2" s="24"/>
      <c r="H2" s="24"/>
      <c r="I2" s="24"/>
    </row>
    <row r="3" spans="1:17" ht="62.25" customHeight="1" x14ac:dyDescent="0.25">
      <c r="A3" s="24"/>
      <c r="B3" s="236" t="s">
        <v>169</v>
      </c>
      <c r="C3" s="236"/>
      <c r="D3" s="236"/>
      <c r="E3" s="236"/>
      <c r="F3" s="236"/>
      <c r="G3" s="236"/>
      <c r="H3" s="236"/>
      <c r="I3" s="236"/>
      <c r="J3" s="104"/>
      <c r="K3" s="84"/>
    </row>
    <row r="4" spans="1:17" ht="15.75" x14ac:dyDescent="0.25">
      <c r="A4" s="24"/>
      <c r="B4" s="236" t="s">
        <v>236</v>
      </c>
      <c r="C4" s="236"/>
      <c r="D4" s="236"/>
      <c r="E4" s="236"/>
      <c r="F4" s="236"/>
      <c r="G4" s="236"/>
      <c r="H4" s="236"/>
      <c r="I4" s="236"/>
      <c r="J4" s="105"/>
      <c r="K4" s="85"/>
    </row>
    <row r="5" spans="1:17" ht="15.75" x14ac:dyDescent="0.25">
      <c r="A5" s="24"/>
      <c r="B5" s="236" t="str">
        <f>+'Balance General'!B7:I7</f>
        <v>Al 30 de septiembre y 31 de agosto de 2017</v>
      </c>
      <c r="C5" s="236"/>
      <c r="D5" s="236"/>
      <c r="E5" s="236"/>
      <c r="F5" s="236"/>
      <c r="G5" s="236"/>
      <c r="H5" s="236"/>
      <c r="I5" s="236"/>
      <c r="J5" s="105"/>
      <c r="K5" s="85"/>
    </row>
    <row r="6" spans="1:17" ht="15.75" x14ac:dyDescent="0.25">
      <c r="A6" s="24"/>
      <c r="B6" s="236" t="s">
        <v>64</v>
      </c>
      <c r="C6" s="236"/>
      <c r="D6" s="236"/>
      <c r="E6" s="236"/>
      <c r="F6" s="236"/>
      <c r="G6" s="236"/>
      <c r="H6" s="236"/>
      <c r="I6" s="236"/>
      <c r="J6" s="105"/>
      <c r="K6" s="85"/>
    </row>
    <row r="7" spans="1:17" ht="15.75" x14ac:dyDescent="0.25">
      <c r="A7" s="24"/>
      <c r="B7" s="24"/>
      <c r="C7" s="181"/>
      <c r="D7" s="181"/>
      <c r="E7" s="181"/>
      <c r="F7" s="181"/>
      <c r="G7" s="181"/>
      <c r="H7" s="181"/>
      <c r="I7" s="181"/>
      <c r="J7" s="182"/>
    </row>
    <row r="8" spans="1:17" ht="15.75" x14ac:dyDescent="0.25">
      <c r="A8" s="24"/>
      <c r="B8" s="24"/>
      <c r="C8" s="181"/>
      <c r="D8" s="181"/>
      <c r="E8" s="181"/>
      <c r="F8" s="181"/>
      <c r="G8" s="181"/>
      <c r="H8" s="181"/>
      <c r="I8" s="181"/>
      <c r="J8" s="182"/>
    </row>
    <row r="9" spans="1:17" ht="15.75" x14ac:dyDescent="0.25">
      <c r="A9" s="24"/>
      <c r="B9" s="24"/>
      <c r="C9" s="183" t="str">
        <f>+'Balance General'!D11</f>
        <v xml:space="preserve">Septiembre </v>
      </c>
      <c r="D9" s="184"/>
      <c r="E9" s="183" t="str">
        <f>+'Balance General'!F11</f>
        <v>Agosto</v>
      </c>
      <c r="F9" s="185"/>
      <c r="G9" s="186" t="s">
        <v>183</v>
      </c>
      <c r="H9" s="187"/>
      <c r="I9" s="186" t="s">
        <v>184</v>
      </c>
      <c r="J9" s="188"/>
      <c r="K9" s="86"/>
    </row>
    <row r="10" spans="1:17" ht="15.75" x14ac:dyDescent="0.25">
      <c r="A10" s="24"/>
      <c r="B10" s="24"/>
      <c r="C10" s="184"/>
      <c r="D10" s="184"/>
      <c r="E10" s="184"/>
      <c r="F10" s="185"/>
      <c r="G10" s="187"/>
      <c r="H10" s="187"/>
      <c r="I10" s="188"/>
      <c r="J10" s="188"/>
      <c r="K10" s="86"/>
      <c r="N10" s="12"/>
    </row>
    <row r="11" spans="1:17" ht="15.75" x14ac:dyDescent="0.25">
      <c r="A11" s="24"/>
      <c r="B11" s="23"/>
      <c r="C11" s="189"/>
      <c r="D11" s="184"/>
      <c r="E11" s="184"/>
      <c r="F11" s="185"/>
      <c r="G11" s="190"/>
      <c r="H11" s="187"/>
      <c r="I11" s="191"/>
      <c r="J11" s="191"/>
      <c r="K11" s="86"/>
      <c r="N11" s="12"/>
    </row>
    <row r="12" spans="1:17" ht="13.5" customHeight="1" x14ac:dyDescent="0.25">
      <c r="A12" s="24"/>
      <c r="B12" s="23"/>
      <c r="C12" s="192"/>
      <c r="D12" s="184"/>
      <c r="E12" s="189"/>
      <c r="F12" s="185"/>
      <c r="G12" s="187"/>
      <c r="H12" s="187"/>
      <c r="I12" s="188"/>
      <c r="J12" s="188"/>
      <c r="K12" s="86"/>
      <c r="N12" s="12"/>
    </row>
    <row r="13" spans="1:17" s="4" customFormat="1" ht="20.100000000000001" customHeight="1" x14ac:dyDescent="0.25">
      <c r="A13" s="25"/>
      <c r="B13" s="124" t="s">
        <v>172</v>
      </c>
      <c r="C13" s="193">
        <v>24316321.48</v>
      </c>
      <c r="D13" s="194"/>
      <c r="E13" s="193">
        <v>21600331.100000001</v>
      </c>
      <c r="F13" s="195"/>
      <c r="G13" s="193">
        <f>+C13-E13</f>
        <v>2715990.379999999</v>
      </c>
      <c r="H13" s="196"/>
      <c r="I13" s="197">
        <f>G13/E13</f>
        <v>0.12573836796418361</v>
      </c>
      <c r="J13" s="197"/>
      <c r="K13" s="83"/>
      <c r="N13" s="5"/>
    </row>
    <row r="14" spans="1:17" s="4" customFormat="1" ht="20.100000000000001" customHeight="1" x14ac:dyDescent="0.25">
      <c r="A14" s="25"/>
      <c r="B14" s="124" t="s">
        <v>173</v>
      </c>
      <c r="C14" s="198">
        <v>-25237443.359999999</v>
      </c>
      <c r="D14" s="199"/>
      <c r="E14" s="198">
        <v>-19159551.350000001</v>
      </c>
      <c r="F14" s="193"/>
      <c r="G14" s="198">
        <f>+C14-E14</f>
        <v>-6077892.0099999979</v>
      </c>
      <c r="H14" s="196"/>
      <c r="I14" s="197">
        <f>G14/E14</f>
        <v>0.31722517396003624</v>
      </c>
      <c r="J14" s="200"/>
      <c r="K14" s="88"/>
      <c r="L14" s="5"/>
      <c r="N14" s="5"/>
      <c r="P14" s="76"/>
    </row>
    <row r="15" spans="1:17" s="4" customFormat="1" ht="20.100000000000001" customHeight="1" x14ac:dyDescent="0.25">
      <c r="A15" s="25"/>
      <c r="B15" s="124" t="s">
        <v>175</v>
      </c>
      <c r="C15" s="201">
        <f>+C13+C14</f>
        <v>-921121.87999999896</v>
      </c>
      <c r="D15" s="202"/>
      <c r="E15" s="201">
        <f>+SUM(E13:E14)</f>
        <v>2440779.75</v>
      </c>
      <c r="F15" s="202"/>
      <c r="G15" s="203">
        <f>+G13+G14</f>
        <v>-3361901.629999999</v>
      </c>
      <c r="H15" s="196"/>
      <c r="I15" s="204">
        <f>-+G15/E15</f>
        <v>1.3773883653369374</v>
      </c>
      <c r="J15" s="205"/>
      <c r="K15" s="89"/>
      <c r="L15" s="5"/>
      <c r="M15" s="73"/>
    </row>
    <row r="16" spans="1:17" s="4" customFormat="1" ht="20.100000000000001" customHeight="1" x14ac:dyDescent="0.25">
      <c r="A16" s="25"/>
      <c r="B16" s="124"/>
      <c r="C16" s="194"/>
      <c r="D16" s="194"/>
      <c r="E16" s="194"/>
      <c r="F16" s="195"/>
      <c r="G16" s="194"/>
      <c r="H16" s="196"/>
      <c r="I16" s="197"/>
      <c r="J16" s="197"/>
      <c r="K16" s="5"/>
      <c r="L16" s="5"/>
      <c r="Q16" s="5"/>
    </row>
    <row r="17" spans="1:18" s="4" customFormat="1" ht="20.100000000000001" customHeight="1" x14ac:dyDescent="0.25">
      <c r="A17" s="25"/>
      <c r="B17" s="25"/>
      <c r="C17" s="194"/>
      <c r="D17" s="194"/>
      <c r="E17" s="194"/>
      <c r="F17" s="195"/>
      <c r="G17" s="194"/>
      <c r="H17" s="196"/>
      <c r="I17" s="197"/>
      <c r="J17" s="197"/>
      <c r="K17" s="83"/>
      <c r="L17" s="18"/>
      <c r="Q17" s="5"/>
    </row>
    <row r="18" spans="1:18" s="4" customFormat="1" ht="20.100000000000001" customHeight="1" x14ac:dyDescent="0.25">
      <c r="A18" s="25"/>
      <c r="B18" s="124" t="s">
        <v>174</v>
      </c>
      <c r="C18" s="193">
        <v>3378720.3400000003</v>
      </c>
      <c r="D18" s="206"/>
      <c r="E18" s="194">
        <v>2314583.59</v>
      </c>
      <c r="F18" s="206"/>
      <c r="G18" s="207">
        <f>+C18-E18</f>
        <v>1064136.7500000005</v>
      </c>
      <c r="H18" s="196"/>
      <c r="I18" s="197">
        <f>G18/E18</f>
        <v>0.45975300032261984</v>
      </c>
      <c r="J18" s="197"/>
      <c r="K18" s="83"/>
      <c r="N18" s="5"/>
      <c r="O18" s="5"/>
      <c r="Q18" s="5"/>
    </row>
    <row r="19" spans="1:18" s="4" customFormat="1" ht="20.100000000000001" customHeight="1" x14ac:dyDescent="0.25">
      <c r="A19" s="25"/>
      <c r="B19" s="124" t="s">
        <v>176</v>
      </c>
      <c r="C19" s="208">
        <v>-162177.61000000002</v>
      </c>
      <c r="D19" s="206"/>
      <c r="E19" s="208">
        <v>-129173.95</v>
      </c>
      <c r="F19" s="206"/>
      <c r="G19" s="208">
        <f>+C19-E19</f>
        <v>-33003.660000000018</v>
      </c>
      <c r="H19" s="196"/>
      <c r="I19" s="197">
        <f>G19/E19</f>
        <v>0.25549779967245734</v>
      </c>
      <c r="J19" s="197"/>
      <c r="K19" s="83"/>
      <c r="M19" s="76"/>
      <c r="N19" s="5"/>
      <c r="O19" s="5"/>
      <c r="Q19" s="5"/>
    </row>
    <row r="20" spans="1:18" s="4" customFormat="1" ht="20.100000000000001" customHeight="1" x14ac:dyDescent="0.25">
      <c r="A20" s="25"/>
      <c r="B20" s="124" t="s">
        <v>189</v>
      </c>
      <c r="C20" s="198">
        <v>-56.23</v>
      </c>
      <c r="D20" s="206"/>
      <c r="E20" s="198">
        <v>-56.23</v>
      </c>
      <c r="F20" s="206"/>
      <c r="G20" s="209">
        <f>+C20-E20</f>
        <v>0</v>
      </c>
      <c r="H20" s="196"/>
      <c r="I20" s="197">
        <f>G20/E20</f>
        <v>0</v>
      </c>
      <c r="J20" s="197"/>
      <c r="K20" s="83"/>
      <c r="M20" s="76"/>
      <c r="N20" s="5"/>
      <c r="O20" s="5"/>
    </row>
    <row r="21" spans="1:18" s="4" customFormat="1" ht="20.100000000000001" customHeight="1" x14ac:dyDescent="0.25">
      <c r="A21" s="25"/>
      <c r="B21" s="124" t="s">
        <v>188</v>
      </c>
      <c r="C21" s="210">
        <f>+SUM(C18:C20)</f>
        <v>3216486.5000000005</v>
      </c>
      <c r="D21" s="211"/>
      <c r="E21" s="210">
        <f>+SUM(E18:E20)</f>
        <v>2185353.4099999997</v>
      </c>
      <c r="F21" s="212"/>
      <c r="G21" s="213">
        <f>+G18+G19+G20</f>
        <v>1031133.0900000004</v>
      </c>
      <c r="H21" s="214"/>
      <c r="I21" s="204">
        <f>G21/E21</f>
        <v>0.47183814081586034</v>
      </c>
      <c r="J21" s="205"/>
      <c r="K21" s="87"/>
      <c r="M21" s="76"/>
      <c r="N21" s="18"/>
      <c r="O21" s="18"/>
      <c r="Q21" s="5"/>
    </row>
    <row r="22" spans="1:18" s="4" customFormat="1" ht="20.100000000000001" customHeight="1" x14ac:dyDescent="0.25">
      <c r="A22" s="25"/>
      <c r="B22" s="124"/>
      <c r="C22" s="215"/>
      <c r="D22" s="215"/>
      <c r="E22" s="215"/>
      <c r="F22" s="216"/>
      <c r="G22" s="215"/>
      <c r="H22" s="214"/>
      <c r="I22" s="204"/>
      <c r="J22" s="205"/>
      <c r="K22" s="87"/>
      <c r="M22" s="76"/>
      <c r="N22" s="18"/>
      <c r="O22" s="18"/>
      <c r="Q22" s="5"/>
    </row>
    <row r="23" spans="1:18" ht="18.75" customHeight="1" x14ac:dyDescent="0.25">
      <c r="A23" s="24"/>
      <c r="B23" s="24"/>
      <c r="C23" s="217"/>
      <c r="D23" s="217"/>
      <c r="E23" s="217"/>
      <c r="F23" s="217"/>
      <c r="G23" s="217"/>
      <c r="H23" s="181"/>
      <c r="I23" s="181"/>
      <c r="J23" s="218"/>
      <c r="K23" s="45"/>
      <c r="Q23" s="226"/>
    </row>
    <row r="24" spans="1:18" ht="16.5" thickBot="1" x14ac:dyDescent="0.3">
      <c r="A24" s="24"/>
      <c r="B24" s="180" t="s">
        <v>155</v>
      </c>
      <c r="C24" s="219">
        <f>+C21+C15</f>
        <v>2295364.6200000015</v>
      </c>
      <c r="D24" s="220"/>
      <c r="E24" s="219">
        <f>+E15+E21</f>
        <v>4626133.16</v>
      </c>
      <c r="F24" s="220"/>
      <c r="G24" s="221">
        <f>+G21+G15</f>
        <v>-2330768.5399999986</v>
      </c>
      <c r="H24" s="181"/>
      <c r="I24" s="204">
        <f>+G24/E24</f>
        <v>-0.50382651328609795</v>
      </c>
      <c r="J24" s="204"/>
      <c r="K24" s="87"/>
      <c r="L24" s="12"/>
    </row>
    <row r="25" spans="1:18" ht="16.5" thickTop="1" x14ac:dyDescent="0.25">
      <c r="A25" s="24"/>
      <c r="B25" s="24"/>
      <c r="C25" s="222"/>
      <c r="D25" s="181"/>
      <c r="E25" s="181"/>
      <c r="F25" s="181"/>
      <c r="G25" s="181"/>
      <c r="H25" s="181"/>
      <c r="I25" s="181"/>
      <c r="J25" s="182"/>
      <c r="L25" s="12"/>
      <c r="Q25" s="12"/>
      <c r="R25" s="12"/>
    </row>
    <row r="26" spans="1:18" ht="15.75" x14ac:dyDescent="0.25">
      <c r="A26" s="24"/>
      <c r="B26" s="24"/>
      <c r="C26" s="217"/>
      <c r="D26" s="181"/>
      <c r="E26" s="217"/>
      <c r="F26" s="181"/>
      <c r="G26" s="217"/>
      <c r="H26" s="181"/>
      <c r="I26" s="181"/>
      <c r="J26" s="182"/>
      <c r="K26" s="90"/>
      <c r="L26" s="91"/>
      <c r="O26" s="12"/>
      <c r="Q26" s="12"/>
      <c r="R26" s="12"/>
    </row>
    <row r="27" spans="1:18" ht="15.75" x14ac:dyDescent="0.25">
      <c r="A27" s="24"/>
      <c r="B27" s="24"/>
      <c r="C27" s="217"/>
      <c r="D27" s="181"/>
      <c r="E27" s="181"/>
      <c r="F27" s="181"/>
      <c r="G27" s="218"/>
      <c r="H27" s="181"/>
      <c r="I27" s="181"/>
      <c r="J27" s="182"/>
      <c r="L27" s="12"/>
      <c r="O27" s="12"/>
      <c r="Q27" s="12"/>
      <c r="R27" s="12"/>
    </row>
    <row r="28" spans="1:18" ht="69.75" customHeight="1" x14ac:dyDescent="0.3">
      <c r="A28" s="24"/>
      <c r="B28" s="223"/>
      <c r="C28" s="217"/>
      <c r="D28" s="181"/>
      <c r="E28" s="246"/>
      <c r="F28" s="246"/>
      <c r="G28" s="246"/>
      <c r="H28" s="181"/>
      <c r="I28" s="181"/>
      <c r="J28" s="182"/>
      <c r="L28" s="92"/>
      <c r="O28" s="2"/>
      <c r="P28" s="12"/>
      <c r="Q28" s="227"/>
      <c r="R28" s="12"/>
    </row>
    <row r="29" spans="1:18" ht="24.75" customHeight="1" x14ac:dyDescent="0.25">
      <c r="A29" s="24"/>
      <c r="B29" s="224" t="str">
        <f>+'Balance General'!B48</f>
        <v>Vice-Presidente-Tesorera</v>
      </c>
      <c r="C29" s="181"/>
      <c r="D29" s="181"/>
      <c r="E29" s="242" t="s">
        <v>157</v>
      </c>
      <c r="F29" s="242"/>
      <c r="G29" s="242"/>
      <c r="H29" s="24"/>
      <c r="I29" s="62"/>
      <c r="Q29" s="12"/>
      <c r="R29" s="2"/>
    </row>
    <row r="30" spans="1:18" x14ac:dyDescent="0.25">
      <c r="A30" s="24"/>
      <c r="B30" s="24"/>
      <c r="C30" s="24"/>
      <c r="D30" s="24"/>
      <c r="E30" s="24"/>
      <c r="F30" s="24"/>
      <c r="G30" s="24"/>
      <c r="H30" s="24"/>
      <c r="I30" s="24"/>
      <c r="P30" s="12">
        <f>+P29+P28</f>
        <v>0</v>
      </c>
    </row>
    <row r="33" spans="3:5" x14ac:dyDescent="0.25">
      <c r="C33" s="12"/>
      <c r="D33" s="12"/>
      <c r="E33" s="12"/>
    </row>
    <row r="34" spans="3:5" x14ac:dyDescent="0.25">
      <c r="C34" s="12"/>
      <c r="D34" s="12"/>
      <c r="E34" s="12"/>
    </row>
    <row r="35" spans="3:5" x14ac:dyDescent="0.25">
      <c r="C35" s="12"/>
      <c r="D35" s="12"/>
      <c r="E35" s="12"/>
    </row>
  </sheetData>
  <mergeCells count="6">
    <mergeCell ref="E29:G29"/>
    <mergeCell ref="B3:I3"/>
    <mergeCell ref="B4:I4"/>
    <mergeCell ref="B5:I5"/>
    <mergeCell ref="B6:I6"/>
    <mergeCell ref="E28:G28"/>
  </mergeCells>
  <pageMargins left="0.7" right="0.7" top="0.75" bottom="0.75" header="0.3" footer="0.3"/>
  <pageSetup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69"/>
  <sheetViews>
    <sheetView workbookViewId="0">
      <selection activeCell="B11" sqref="B11"/>
    </sheetView>
  </sheetViews>
  <sheetFormatPr baseColWidth="10" defaultRowHeight="15" x14ac:dyDescent="0.25"/>
  <cols>
    <col min="2" max="2" width="71.85546875" bestFit="1" customWidth="1"/>
    <col min="3" max="3" width="11.7109375" bestFit="1" customWidth="1"/>
  </cols>
  <sheetData>
    <row r="4" spans="1:3" x14ac:dyDescent="0.25">
      <c r="A4">
        <v>4</v>
      </c>
      <c r="B4" t="s">
        <v>0</v>
      </c>
      <c r="C4" s="1">
        <v>4780290.4800000004</v>
      </c>
    </row>
    <row r="5" spans="1:3" x14ac:dyDescent="0.25">
      <c r="A5">
        <v>41</v>
      </c>
      <c r="B5" t="s">
        <v>1</v>
      </c>
      <c r="C5" s="1">
        <v>2572087.27</v>
      </c>
    </row>
    <row r="6" spans="1:3" x14ac:dyDescent="0.25">
      <c r="A6">
        <v>411</v>
      </c>
      <c r="B6" t="s">
        <v>2</v>
      </c>
      <c r="C6" s="1">
        <v>2572087.27</v>
      </c>
    </row>
    <row r="7" spans="1:3" x14ac:dyDescent="0.25">
      <c r="A7">
        <v>41101</v>
      </c>
      <c r="B7" t="s">
        <v>3</v>
      </c>
      <c r="C7" s="1">
        <v>2570635.94</v>
      </c>
    </row>
    <row r="8" spans="1:3" x14ac:dyDescent="0.25">
      <c r="A8">
        <v>4110101</v>
      </c>
      <c r="B8" t="s">
        <v>4</v>
      </c>
      <c r="C8" s="1">
        <v>2570635.94</v>
      </c>
    </row>
    <row r="9" spans="1:3" x14ac:dyDescent="0.25">
      <c r="A9">
        <v>41102</v>
      </c>
      <c r="B9" t="s">
        <v>5</v>
      </c>
      <c r="C9" s="1">
        <v>1451.33</v>
      </c>
    </row>
    <row r="10" spans="1:3" x14ac:dyDescent="0.25">
      <c r="A10">
        <v>4110203</v>
      </c>
      <c r="B10" t="s">
        <v>6</v>
      </c>
      <c r="C10" s="1">
        <v>1451.33</v>
      </c>
    </row>
    <row r="11" spans="1:3" x14ac:dyDescent="0.25">
      <c r="A11">
        <v>42</v>
      </c>
      <c r="B11" t="s">
        <v>7</v>
      </c>
      <c r="C11" s="1">
        <v>883985.33</v>
      </c>
    </row>
    <row r="12" spans="1:3" x14ac:dyDescent="0.25">
      <c r="A12">
        <v>421</v>
      </c>
      <c r="B12" t="s">
        <v>8</v>
      </c>
      <c r="C12" s="1">
        <v>883985.33</v>
      </c>
    </row>
    <row r="13" spans="1:3" x14ac:dyDescent="0.25">
      <c r="A13">
        <v>42101</v>
      </c>
      <c r="B13" t="s">
        <v>9</v>
      </c>
      <c r="C13" s="1">
        <v>5631.37</v>
      </c>
    </row>
    <row r="14" spans="1:3" x14ac:dyDescent="0.25">
      <c r="A14">
        <v>4210199</v>
      </c>
      <c r="B14" t="s">
        <v>10</v>
      </c>
      <c r="C14" s="1">
        <v>5631.37</v>
      </c>
    </row>
    <row r="15" spans="1:3" x14ac:dyDescent="0.25">
      <c r="A15">
        <v>42102</v>
      </c>
      <c r="B15" t="s">
        <v>11</v>
      </c>
      <c r="C15" s="1">
        <v>878353.96</v>
      </c>
    </row>
    <row r="16" spans="1:3" x14ac:dyDescent="0.25">
      <c r="A16">
        <v>4210201</v>
      </c>
      <c r="B16" t="s">
        <v>12</v>
      </c>
      <c r="C16" s="1">
        <v>818927.38</v>
      </c>
    </row>
    <row r="17" spans="1:3" x14ac:dyDescent="0.25">
      <c r="A17">
        <v>4210203</v>
      </c>
      <c r="B17" t="s">
        <v>13</v>
      </c>
      <c r="C17" s="1">
        <v>30666.720000000001</v>
      </c>
    </row>
    <row r="18" spans="1:3" x14ac:dyDescent="0.25">
      <c r="A18">
        <v>4210204</v>
      </c>
      <c r="B18" t="s">
        <v>14</v>
      </c>
      <c r="C18" s="1">
        <v>28759.86</v>
      </c>
    </row>
    <row r="19" spans="1:3" x14ac:dyDescent="0.25">
      <c r="A19">
        <v>43</v>
      </c>
      <c r="B19" t="s">
        <v>15</v>
      </c>
      <c r="C19" s="1">
        <v>1324217.8799999999</v>
      </c>
    </row>
    <row r="20" spans="1:3" x14ac:dyDescent="0.25">
      <c r="A20">
        <v>431</v>
      </c>
      <c r="B20" t="s">
        <v>16</v>
      </c>
      <c r="C20" s="1">
        <v>1324217.8799999999</v>
      </c>
    </row>
    <row r="21" spans="1:3" x14ac:dyDescent="0.25">
      <c r="A21">
        <v>4310401</v>
      </c>
      <c r="B21" t="s">
        <v>17</v>
      </c>
      <c r="C21" s="1">
        <v>1324217.8799999999</v>
      </c>
    </row>
    <row r="22" spans="1:3" x14ac:dyDescent="0.25">
      <c r="A22">
        <v>5</v>
      </c>
      <c r="B22" t="s">
        <v>18</v>
      </c>
      <c r="C22" s="1">
        <v>4267165.55</v>
      </c>
    </row>
    <row r="23" spans="1:3" x14ac:dyDescent="0.25">
      <c r="A23">
        <v>51</v>
      </c>
      <c r="B23" t="s">
        <v>19</v>
      </c>
      <c r="C23" s="1">
        <v>377259.61</v>
      </c>
    </row>
    <row r="24" spans="1:3" x14ac:dyDescent="0.25">
      <c r="A24">
        <v>511</v>
      </c>
      <c r="B24" t="s">
        <v>19</v>
      </c>
      <c r="C24" s="1">
        <v>377259.61</v>
      </c>
    </row>
    <row r="25" spans="1:3" x14ac:dyDescent="0.25">
      <c r="A25">
        <v>51101</v>
      </c>
      <c r="B25" t="s">
        <v>20</v>
      </c>
      <c r="C25" s="1">
        <v>375371.61</v>
      </c>
    </row>
    <row r="26" spans="1:3" x14ac:dyDescent="0.25">
      <c r="A26">
        <v>5110106</v>
      </c>
      <c r="B26" t="s">
        <v>21</v>
      </c>
      <c r="C26" s="1">
        <v>351371.61</v>
      </c>
    </row>
    <row r="27" spans="1:3" x14ac:dyDescent="0.25">
      <c r="A27">
        <v>5110139</v>
      </c>
      <c r="B27" t="s">
        <v>22</v>
      </c>
      <c r="C27" s="1">
        <v>24000</v>
      </c>
    </row>
    <row r="28" spans="1:3" x14ac:dyDescent="0.25">
      <c r="A28">
        <v>51104</v>
      </c>
      <c r="B28" t="s">
        <v>23</v>
      </c>
      <c r="C28" s="1">
        <v>1888</v>
      </c>
    </row>
    <row r="29" spans="1:3" x14ac:dyDescent="0.25">
      <c r="A29">
        <v>5110420</v>
      </c>
      <c r="B29" t="s">
        <v>24</v>
      </c>
      <c r="C29" s="1">
        <v>1888</v>
      </c>
    </row>
    <row r="30" spans="1:3" x14ac:dyDescent="0.25">
      <c r="A30">
        <v>52</v>
      </c>
      <c r="B30" t="s">
        <v>25</v>
      </c>
      <c r="C30" s="1">
        <v>59439.24</v>
      </c>
    </row>
    <row r="31" spans="1:3" x14ac:dyDescent="0.25">
      <c r="A31">
        <v>521</v>
      </c>
      <c r="B31" t="s">
        <v>25</v>
      </c>
      <c r="C31" s="1">
        <v>59439.24</v>
      </c>
    </row>
    <row r="32" spans="1:3" x14ac:dyDescent="0.25">
      <c r="A32">
        <v>52103</v>
      </c>
      <c r="B32" t="s">
        <v>26</v>
      </c>
      <c r="C32" s="1">
        <v>36448.120000000003</v>
      </c>
    </row>
    <row r="33" spans="1:3" x14ac:dyDescent="0.25">
      <c r="A33">
        <v>5210303</v>
      </c>
      <c r="B33" t="s">
        <v>27</v>
      </c>
      <c r="C33" s="1">
        <v>30000.21</v>
      </c>
    </row>
    <row r="34" spans="1:3" x14ac:dyDescent="0.25">
      <c r="A34">
        <v>5210304</v>
      </c>
      <c r="B34" t="s">
        <v>28</v>
      </c>
      <c r="C34" s="1">
        <v>6447.91</v>
      </c>
    </row>
    <row r="35" spans="1:3" x14ac:dyDescent="0.25">
      <c r="A35">
        <v>52105</v>
      </c>
      <c r="B35" t="s">
        <v>29</v>
      </c>
      <c r="C35" s="1">
        <v>22991.119999999999</v>
      </c>
    </row>
    <row r="36" spans="1:3" x14ac:dyDescent="0.25">
      <c r="A36">
        <v>5210501</v>
      </c>
      <c r="B36" t="s">
        <v>30</v>
      </c>
      <c r="C36" s="1">
        <v>13765.41</v>
      </c>
    </row>
    <row r="37" spans="1:3" x14ac:dyDescent="0.25">
      <c r="A37">
        <v>5210599</v>
      </c>
      <c r="B37" t="s">
        <v>31</v>
      </c>
      <c r="C37" s="1">
        <v>9225.7099999999991</v>
      </c>
    </row>
    <row r="38" spans="1:3" x14ac:dyDescent="0.25">
      <c r="A38">
        <v>53</v>
      </c>
      <c r="B38" t="s">
        <v>32</v>
      </c>
      <c r="C38" s="1">
        <v>3830466.7</v>
      </c>
    </row>
    <row r="39" spans="1:3" x14ac:dyDescent="0.25">
      <c r="A39">
        <v>531</v>
      </c>
      <c r="B39" t="s">
        <v>32</v>
      </c>
      <c r="C39" s="1">
        <v>3830466.7</v>
      </c>
    </row>
    <row r="40" spans="1:3" x14ac:dyDescent="0.25">
      <c r="A40">
        <v>53101</v>
      </c>
      <c r="B40" t="s">
        <v>33</v>
      </c>
      <c r="C40" s="1">
        <v>1818459.69</v>
      </c>
    </row>
    <row r="41" spans="1:3" x14ac:dyDescent="0.25">
      <c r="A41">
        <v>5310101</v>
      </c>
      <c r="B41" t="s">
        <v>34</v>
      </c>
      <c r="C41" s="1">
        <v>1011306.81</v>
      </c>
    </row>
    <row r="42" spans="1:3" x14ac:dyDescent="0.25">
      <c r="A42">
        <v>5310102</v>
      </c>
      <c r="B42" t="s">
        <v>35</v>
      </c>
      <c r="C42" s="1">
        <v>84451.73</v>
      </c>
    </row>
    <row r="43" spans="1:3" x14ac:dyDescent="0.25">
      <c r="A43">
        <v>5310105</v>
      </c>
      <c r="B43" t="s">
        <v>36</v>
      </c>
      <c r="C43" s="1">
        <v>279407.27</v>
      </c>
    </row>
    <row r="44" spans="1:3" x14ac:dyDescent="0.25">
      <c r="A44">
        <v>5310107</v>
      </c>
      <c r="B44" t="s">
        <v>37</v>
      </c>
      <c r="C44" s="1">
        <v>10316</v>
      </c>
    </row>
    <row r="45" spans="1:3" x14ac:dyDescent="0.25">
      <c r="A45">
        <v>5310109</v>
      </c>
      <c r="B45" t="s">
        <v>38</v>
      </c>
      <c r="C45" s="1">
        <v>73240.47</v>
      </c>
    </row>
    <row r="46" spans="1:3" x14ac:dyDescent="0.25">
      <c r="A46">
        <v>5310110</v>
      </c>
      <c r="B46" t="s">
        <v>39</v>
      </c>
      <c r="C46" s="1">
        <v>20356.689999999999</v>
      </c>
    </row>
    <row r="47" spans="1:3" x14ac:dyDescent="0.25">
      <c r="A47">
        <v>5310114</v>
      </c>
      <c r="B47" t="s">
        <v>40</v>
      </c>
      <c r="C47" s="1">
        <v>77756.11</v>
      </c>
    </row>
    <row r="48" spans="1:3" x14ac:dyDescent="0.25">
      <c r="A48">
        <v>5310115</v>
      </c>
      <c r="B48" t="s">
        <v>41</v>
      </c>
      <c r="C48" s="1">
        <v>8995.1</v>
      </c>
    </row>
    <row r="49" spans="1:3" x14ac:dyDescent="0.25">
      <c r="A49">
        <v>5310116</v>
      </c>
      <c r="B49" t="s">
        <v>42</v>
      </c>
      <c r="C49" s="1">
        <v>23734</v>
      </c>
    </row>
    <row r="50" spans="1:3" x14ac:dyDescent="0.25">
      <c r="A50">
        <v>5310119</v>
      </c>
      <c r="B50" t="s">
        <v>43</v>
      </c>
      <c r="C50" s="1">
        <v>153600.51</v>
      </c>
    </row>
    <row r="51" spans="1:3" x14ac:dyDescent="0.25">
      <c r="A51">
        <v>5310121</v>
      </c>
      <c r="B51" t="s">
        <v>44</v>
      </c>
      <c r="C51" s="1">
        <v>45895</v>
      </c>
    </row>
    <row r="52" spans="1:3" x14ac:dyDescent="0.25">
      <c r="A52">
        <v>5310126</v>
      </c>
      <c r="B52" t="s">
        <v>45</v>
      </c>
      <c r="C52" s="1">
        <v>29400</v>
      </c>
    </row>
    <row r="53" spans="1:3" x14ac:dyDescent="0.25">
      <c r="A53">
        <v>53102</v>
      </c>
      <c r="B53" t="s">
        <v>46</v>
      </c>
      <c r="C53" s="1">
        <v>418546.78</v>
      </c>
    </row>
    <row r="54" spans="1:3" x14ac:dyDescent="0.25">
      <c r="A54">
        <v>5310201</v>
      </c>
      <c r="B54" t="s">
        <v>47</v>
      </c>
      <c r="C54" s="1">
        <v>193286.52</v>
      </c>
    </row>
    <row r="55" spans="1:3" x14ac:dyDescent="0.25">
      <c r="A55">
        <v>5310206</v>
      </c>
      <c r="B55" t="s">
        <v>48</v>
      </c>
      <c r="C55" s="1">
        <v>87770.26</v>
      </c>
    </row>
    <row r="56" spans="1:3" x14ac:dyDescent="0.25">
      <c r="A56">
        <v>5310215</v>
      </c>
      <c r="B56" t="s">
        <v>49</v>
      </c>
      <c r="C56" s="1">
        <v>137490</v>
      </c>
    </row>
    <row r="57" spans="1:3" x14ac:dyDescent="0.25">
      <c r="A57">
        <v>53103</v>
      </c>
      <c r="B57" t="s">
        <v>50</v>
      </c>
      <c r="C57" s="1">
        <v>314762.84999999998</v>
      </c>
    </row>
    <row r="58" spans="1:3" x14ac:dyDescent="0.25">
      <c r="A58">
        <v>5310302</v>
      </c>
      <c r="B58" t="s">
        <v>51</v>
      </c>
      <c r="C58" s="1">
        <v>314762.84999999998</v>
      </c>
    </row>
    <row r="59" spans="1:3" x14ac:dyDescent="0.25">
      <c r="A59">
        <v>53107</v>
      </c>
      <c r="B59" t="s">
        <v>52</v>
      </c>
      <c r="C59" s="1">
        <v>228175.19</v>
      </c>
    </row>
    <row r="60" spans="1:3" x14ac:dyDescent="0.25">
      <c r="A60">
        <v>5310701</v>
      </c>
      <c r="B60" t="s">
        <v>53</v>
      </c>
      <c r="C60" s="1">
        <v>226883.99</v>
      </c>
    </row>
    <row r="61" spans="1:3" x14ac:dyDescent="0.25">
      <c r="A61">
        <v>5310702</v>
      </c>
      <c r="B61" t="s">
        <v>54</v>
      </c>
      <c r="C61" s="1">
        <v>1291.2</v>
      </c>
    </row>
    <row r="62" spans="1:3" x14ac:dyDescent="0.25">
      <c r="A62">
        <v>53108</v>
      </c>
      <c r="B62" t="s">
        <v>55</v>
      </c>
      <c r="C62" s="1">
        <v>1050522.19</v>
      </c>
    </row>
    <row r="63" spans="1:3" x14ac:dyDescent="0.25">
      <c r="A63">
        <v>5310801</v>
      </c>
      <c r="B63" t="s">
        <v>56</v>
      </c>
      <c r="C63" s="1">
        <v>305682</v>
      </c>
    </row>
    <row r="64" spans="1:3" x14ac:dyDescent="0.25">
      <c r="A64">
        <v>5310802</v>
      </c>
      <c r="B64" t="s">
        <v>57</v>
      </c>
      <c r="C64" s="1">
        <v>250941.91</v>
      </c>
    </row>
    <row r="65" spans="1:3" x14ac:dyDescent="0.25">
      <c r="A65">
        <v>5310806</v>
      </c>
      <c r="B65" t="s">
        <v>58</v>
      </c>
      <c r="C65" s="1">
        <v>16840</v>
      </c>
    </row>
    <row r="66" spans="1:3" x14ac:dyDescent="0.25">
      <c r="A66">
        <v>5310811</v>
      </c>
      <c r="B66" t="s">
        <v>59</v>
      </c>
      <c r="C66" s="1">
        <v>4644.42</v>
      </c>
    </row>
    <row r="67" spans="1:3" x14ac:dyDescent="0.25">
      <c r="A67">
        <v>5310825</v>
      </c>
      <c r="B67" t="s">
        <v>60</v>
      </c>
      <c r="C67" s="1">
        <v>17113.86</v>
      </c>
    </row>
    <row r="68" spans="1:3" x14ac:dyDescent="0.25">
      <c r="A68">
        <v>5310832</v>
      </c>
      <c r="B68" t="s">
        <v>61</v>
      </c>
      <c r="C68" s="1">
        <v>5300</v>
      </c>
    </row>
    <row r="69" spans="1:3" x14ac:dyDescent="0.25">
      <c r="A69">
        <v>5310835</v>
      </c>
      <c r="B69" t="s">
        <v>62</v>
      </c>
      <c r="C69" s="1">
        <v>450000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3"/>
  <sheetViews>
    <sheetView showGridLines="0" topLeftCell="A44" workbookViewId="0">
      <selection activeCell="B27" activeCellId="1" sqref="A26:G27 B27"/>
    </sheetView>
  </sheetViews>
  <sheetFormatPr baseColWidth="10" defaultRowHeight="15" x14ac:dyDescent="0.25"/>
  <cols>
    <col min="1" max="1" width="14.7109375" bestFit="1" customWidth="1"/>
    <col min="2" max="2" width="14.7109375" customWidth="1"/>
    <col min="3" max="3" width="60.85546875" bestFit="1" customWidth="1"/>
    <col min="4" max="4" width="18.42578125" customWidth="1"/>
    <col min="5" max="5" width="20" style="4" customWidth="1"/>
    <col min="6" max="6" width="17.42578125" customWidth="1"/>
    <col min="7" max="7" width="14.5703125" customWidth="1"/>
  </cols>
  <sheetData>
    <row r="3" spans="1:7" ht="33.75" customHeight="1" x14ac:dyDescent="0.25">
      <c r="A3" s="236" t="s">
        <v>63</v>
      </c>
      <c r="B3" s="236"/>
      <c r="C3" s="236"/>
      <c r="D3" s="236"/>
      <c r="E3" s="236"/>
      <c r="F3" s="236"/>
      <c r="G3" s="236"/>
    </row>
    <row r="4" spans="1:7" x14ac:dyDescent="0.25">
      <c r="A4" s="237" t="s">
        <v>65</v>
      </c>
      <c r="B4" s="237"/>
      <c r="C4" s="237"/>
      <c r="D4" s="237"/>
      <c r="E4" s="237"/>
      <c r="F4" s="237"/>
      <c r="G4" s="237"/>
    </row>
    <row r="5" spans="1:7" x14ac:dyDescent="0.25">
      <c r="A5" s="237" t="s">
        <v>66</v>
      </c>
      <c r="B5" s="237"/>
      <c r="C5" s="237"/>
      <c r="D5" s="237"/>
      <c r="E5" s="237"/>
      <c r="F5" s="237"/>
      <c r="G5" s="237"/>
    </row>
    <row r="6" spans="1:7" x14ac:dyDescent="0.25">
      <c r="A6" s="237" t="s">
        <v>64</v>
      </c>
      <c r="B6" s="237"/>
      <c r="C6" s="237"/>
      <c r="D6" s="237"/>
      <c r="E6" s="237"/>
      <c r="F6" s="237"/>
      <c r="G6" s="237"/>
    </row>
    <row r="7" spans="1:7" ht="21.75" customHeight="1" x14ac:dyDescent="0.25">
      <c r="A7" s="6"/>
      <c r="B7" s="6"/>
      <c r="C7" s="6"/>
      <c r="D7" s="6"/>
      <c r="E7" s="6"/>
      <c r="F7" s="6"/>
      <c r="G7" s="6"/>
    </row>
    <row r="8" spans="1:7" s="11" customFormat="1" ht="28.5" customHeight="1" x14ac:dyDescent="0.2">
      <c r="A8" s="7" t="s">
        <v>138</v>
      </c>
      <c r="B8" s="7" t="s">
        <v>144</v>
      </c>
      <c r="C8" s="8" t="s">
        <v>139</v>
      </c>
      <c r="D8" s="7" t="s">
        <v>145</v>
      </c>
      <c r="E8" s="9" t="s">
        <v>146</v>
      </c>
      <c r="F8" s="8" t="s">
        <v>142</v>
      </c>
      <c r="G8" s="10" t="s">
        <v>143</v>
      </c>
    </row>
    <row r="9" spans="1:7" x14ac:dyDescent="0.25">
      <c r="A9">
        <v>4</v>
      </c>
      <c r="B9">
        <f>LEN(A9)</f>
        <v>1</v>
      </c>
      <c r="C9" t="s">
        <v>67</v>
      </c>
      <c r="D9" s="1">
        <v>6450664.7800000003</v>
      </c>
      <c r="E9" s="5">
        <f>VLOOKUP(A9,'Estado de resultados mayo'!$A$4:$C$69,3,FALSE)</f>
        <v>4780290.4800000004</v>
      </c>
      <c r="F9" s="2">
        <f>D9-E9</f>
        <v>1670374.2999999998</v>
      </c>
      <c r="G9" s="3">
        <f>IFERROR((F9/E9),100%)</f>
        <v>0.34942945559241406</v>
      </c>
    </row>
    <row r="10" spans="1:7" s="13" customFormat="1" x14ac:dyDescent="0.25">
      <c r="A10" s="13">
        <v>41</v>
      </c>
      <c r="B10" s="13">
        <f t="shared" ref="B10:B73" si="0">LEN(A10)</f>
        <v>2</v>
      </c>
      <c r="C10" s="13" t="s">
        <v>68</v>
      </c>
      <c r="D10" s="14">
        <v>4057764.09</v>
      </c>
      <c r="E10" s="15">
        <f>VLOOKUP(A10,'Estado de resultados mayo'!$A$4:$C$69,3,FALSE)</f>
        <v>2572087.27</v>
      </c>
      <c r="F10" s="16">
        <f t="shared" ref="F10:F73" si="1">D10-E10</f>
        <v>1485676.8199999998</v>
      </c>
      <c r="G10" s="17">
        <f t="shared" ref="G10:G73" si="2">IFERROR((F10/E10),100%)</f>
        <v>0.57761524553558397</v>
      </c>
    </row>
    <row r="11" spans="1:7" x14ac:dyDescent="0.25">
      <c r="A11">
        <v>411</v>
      </c>
      <c r="B11">
        <f t="shared" si="0"/>
        <v>3</v>
      </c>
      <c r="C11" t="s">
        <v>69</v>
      </c>
      <c r="D11" s="1">
        <v>4057764.09</v>
      </c>
      <c r="E11" s="5">
        <f>VLOOKUP(A11,'Estado de resultados mayo'!$A$4:$C$69,3,FALSE)</f>
        <v>2572087.27</v>
      </c>
      <c r="F11" s="2">
        <f t="shared" si="1"/>
        <v>1485676.8199999998</v>
      </c>
      <c r="G11" s="3">
        <f t="shared" si="2"/>
        <v>0.57761524553558397</v>
      </c>
    </row>
    <row r="12" spans="1:7" x14ac:dyDescent="0.25">
      <c r="A12">
        <v>41101</v>
      </c>
      <c r="B12">
        <f t="shared" si="0"/>
        <v>5</v>
      </c>
      <c r="C12" t="s">
        <v>70</v>
      </c>
      <c r="D12" s="1">
        <v>4055533.59</v>
      </c>
      <c r="E12" s="5">
        <f>VLOOKUP(A12,'Estado de resultados mayo'!$A$4:$C$69,3,FALSE)</f>
        <v>2570635.94</v>
      </c>
      <c r="F12" s="2">
        <f t="shared" si="1"/>
        <v>1484897.65</v>
      </c>
      <c r="G12" s="3">
        <f t="shared" si="2"/>
        <v>0.57763825164601101</v>
      </c>
    </row>
    <row r="13" spans="1:7" x14ac:dyDescent="0.25">
      <c r="A13">
        <v>4110101</v>
      </c>
      <c r="B13">
        <f t="shared" si="0"/>
        <v>7</v>
      </c>
      <c r="C13" t="s">
        <v>71</v>
      </c>
      <c r="D13" s="1">
        <v>4055533.59</v>
      </c>
      <c r="E13" s="5">
        <f>VLOOKUP(A13,'Estado de resultados mayo'!$A$4:$C$69,3,FALSE)</f>
        <v>2570635.94</v>
      </c>
      <c r="F13" s="2">
        <f t="shared" si="1"/>
        <v>1484897.65</v>
      </c>
      <c r="G13" s="3">
        <f t="shared" si="2"/>
        <v>0.57763825164601101</v>
      </c>
    </row>
    <row r="14" spans="1:7" x14ac:dyDescent="0.25">
      <c r="A14">
        <v>41102</v>
      </c>
      <c r="B14">
        <f t="shared" si="0"/>
        <v>5</v>
      </c>
      <c r="C14" t="s">
        <v>72</v>
      </c>
      <c r="D14" s="1">
        <v>2230.5</v>
      </c>
      <c r="E14" s="5">
        <f>VLOOKUP(A14,'Estado de resultados mayo'!$A$4:$C$69,3,FALSE)</f>
        <v>1451.33</v>
      </c>
      <c r="F14" s="2">
        <f t="shared" si="1"/>
        <v>779.17000000000007</v>
      </c>
      <c r="G14" s="3">
        <f t="shared" si="2"/>
        <v>0.5368661848097952</v>
      </c>
    </row>
    <row r="15" spans="1:7" x14ac:dyDescent="0.25">
      <c r="A15">
        <v>4110203</v>
      </c>
      <c r="B15">
        <f t="shared" si="0"/>
        <v>7</v>
      </c>
      <c r="C15" t="s">
        <v>73</v>
      </c>
      <c r="D15" s="1">
        <v>2230.5</v>
      </c>
      <c r="E15" s="5">
        <f>VLOOKUP(A15,'Estado de resultados mayo'!$A$4:$C$69,3,FALSE)</f>
        <v>1451.33</v>
      </c>
      <c r="F15" s="2">
        <f t="shared" si="1"/>
        <v>779.17000000000007</v>
      </c>
      <c r="G15" s="3">
        <f t="shared" si="2"/>
        <v>0.5368661848097952</v>
      </c>
    </row>
    <row r="16" spans="1:7" s="13" customFormat="1" x14ac:dyDescent="0.25">
      <c r="A16" s="13">
        <v>42</v>
      </c>
      <c r="B16" s="13">
        <f t="shared" si="0"/>
        <v>2</v>
      </c>
      <c r="C16" s="13" t="s">
        <v>74</v>
      </c>
      <c r="D16" s="14">
        <v>1068682.81</v>
      </c>
      <c r="E16" s="15">
        <f>VLOOKUP(A16,'Estado de resultados mayo'!$A$4:$C$69,3,FALSE)</f>
        <v>883985.33</v>
      </c>
      <c r="F16" s="16">
        <f t="shared" si="1"/>
        <v>184697.4800000001</v>
      </c>
      <c r="G16" s="17">
        <f t="shared" si="2"/>
        <v>0.20893726822367076</v>
      </c>
    </row>
    <row r="17" spans="1:7" x14ac:dyDescent="0.25">
      <c r="A17">
        <v>421</v>
      </c>
      <c r="B17">
        <f t="shared" si="0"/>
        <v>3</v>
      </c>
      <c r="C17" t="s">
        <v>75</v>
      </c>
      <c r="D17" s="1">
        <v>1068682.81</v>
      </c>
      <c r="E17" s="5">
        <f>VLOOKUP(A17,'Estado de resultados mayo'!$A$4:$C$69,3,FALSE)</f>
        <v>883985.33</v>
      </c>
      <c r="F17" s="2">
        <f t="shared" si="1"/>
        <v>184697.4800000001</v>
      </c>
      <c r="G17" s="3">
        <f t="shared" si="2"/>
        <v>0.20893726822367076</v>
      </c>
    </row>
    <row r="18" spans="1:7" x14ac:dyDescent="0.25">
      <c r="A18">
        <v>42101</v>
      </c>
      <c r="B18">
        <f t="shared" si="0"/>
        <v>5</v>
      </c>
      <c r="C18" t="s">
        <v>76</v>
      </c>
      <c r="D18" s="1">
        <v>7560.26</v>
      </c>
      <c r="E18" s="5">
        <f>VLOOKUP(A18,'Estado de resultados mayo'!$A$4:$C$69,3,FALSE)</f>
        <v>5631.37</v>
      </c>
      <c r="F18" s="2">
        <f t="shared" si="1"/>
        <v>1928.8900000000003</v>
      </c>
      <c r="G18" s="3">
        <f t="shared" si="2"/>
        <v>0.34252588624082603</v>
      </c>
    </row>
    <row r="19" spans="1:7" x14ac:dyDescent="0.25">
      <c r="A19">
        <v>4210199</v>
      </c>
      <c r="B19">
        <f t="shared" si="0"/>
        <v>7</v>
      </c>
      <c r="C19" t="s">
        <v>77</v>
      </c>
      <c r="D19" s="1">
        <v>7560.26</v>
      </c>
      <c r="E19" s="5">
        <f>VLOOKUP(A19,'Estado de resultados mayo'!$A$4:$C$69,3,FALSE)</f>
        <v>5631.37</v>
      </c>
      <c r="F19" s="2">
        <f t="shared" si="1"/>
        <v>1928.8900000000003</v>
      </c>
      <c r="G19" s="3">
        <f t="shared" si="2"/>
        <v>0.34252588624082603</v>
      </c>
    </row>
    <row r="20" spans="1:7" x14ac:dyDescent="0.25">
      <c r="A20">
        <v>42102</v>
      </c>
      <c r="B20">
        <f t="shared" si="0"/>
        <v>5</v>
      </c>
      <c r="C20" t="s">
        <v>78</v>
      </c>
      <c r="D20" s="1">
        <v>1061122.55</v>
      </c>
      <c r="E20" s="5">
        <f>VLOOKUP(A20,'Estado de resultados mayo'!$A$4:$C$69,3,FALSE)</f>
        <v>878353.96</v>
      </c>
      <c r="F20" s="2">
        <f t="shared" si="1"/>
        <v>182768.59000000008</v>
      </c>
      <c r="G20" s="3">
        <f t="shared" si="2"/>
        <v>0.20808079467188842</v>
      </c>
    </row>
    <row r="21" spans="1:7" x14ac:dyDescent="0.25">
      <c r="A21">
        <v>4210201</v>
      </c>
      <c r="B21">
        <f t="shared" si="0"/>
        <v>7</v>
      </c>
      <c r="C21" t="s">
        <v>79</v>
      </c>
      <c r="D21" s="1">
        <v>972584.98</v>
      </c>
      <c r="E21" s="5">
        <f>VLOOKUP(A21,'Estado de resultados mayo'!$A$4:$C$69,3,FALSE)</f>
        <v>818927.38</v>
      </c>
      <c r="F21" s="2">
        <f t="shared" si="1"/>
        <v>153657.59999999998</v>
      </c>
      <c r="G21" s="3">
        <f t="shared" si="2"/>
        <v>0.18763275444521096</v>
      </c>
    </row>
    <row r="22" spans="1:7" x14ac:dyDescent="0.25">
      <c r="A22">
        <v>4210203</v>
      </c>
      <c r="B22">
        <f t="shared" si="0"/>
        <v>7</v>
      </c>
      <c r="C22" t="s">
        <v>80</v>
      </c>
      <c r="D22" s="1">
        <v>59777.71</v>
      </c>
      <c r="E22" s="5">
        <f>VLOOKUP(A22,'Estado de resultados mayo'!$A$4:$C$69,3,FALSE)</f>
        <v>30666.720000000001</v>
      </c>
      <c r="F22" s="2">
        <f t="shared" si="1"/>
        <v>29110.989999999998</v>
      </c>
      <c r="G22" s="3">
        <f t="shared" si="2"/>
        <v>0.94926976213954395</v>
      </c>
    </row>
    <row r="23" spans="1:7" x14ac:dyDescent="0.25">
      <c r="A23">
        <v>4210204</v>
      </c>
      <c r="B23">
        <f t="shared" si="0"/>
        <v>7</v>
      </c>
      <c r="C23" t="s">
        <v>81</v>
      </c>
      <c r="D23" s="1">
        <v>28759.86</v>
      </c>
      <c r="E23" s="5">
        <f>VLOOKUP(A23,'Estado de resultados mayo'!$A$4:$C$69,3,FALSE)</f>
        <v>28759.86</v>
      </c>
      <c r="F23" s="2">
        <f t="shared" si="1"/>
        <v>0</v>
      </c>
      <c r="G23" s="3">
        <f t="shared" si="2"/>
        <v>0</v>
      </c>
    </row>
    <row r="24" spans="1:7" s="13" customFormat="1" x14ac:dyDescent="0.25">
      <c r="A24" s="13">
        <v>43</v>
      </c>
      <c r="B24" s="13">
        <f t="shared" si="0"/>
        <v>2</v>
      </c>
      <c r="C24" s="13" t="s">
        <v>82</v>
      </c>
      <c r="D24" s="14">
        <v>1324217.8799999999</v>
      </c>
      <c r="E24" s="15">
        <f>VLOOKUP(A24,'Estado de resultados mayo'!$A$4:$C$69,3,FALSE)</f>
        <v>1324217.8799999999</v>
      </c>
      <c r="F24" s="16">
        <f t="shared" si="1"/>
        <v>0</v>
      </c>
      <c r="G24" s="17">
        <f t="shared" si="2"/>
        <v>0</v>
      </c>
    </row>
    <row r="25" spans="1:7" x14ac:dyDescent="0.25">
      <c r="A25">
        <v>431</v>
      </c>
      <c r="B25">
        <f t="shared" si="0"/>
        <v>3</v>
      </c>
      <c r="C25" t="s">
        <v>83</v>
      </c>
      <c r="D25" s="1">
        <v>1324217.8799999999</v>
      </c>
      <c r="E25" s="5">
        <f>VLOOKUP(A25,'Estado de resultados mayo'!$A$4:$C$69,3,FALSE)</f>
        <v>1324217.8799999999</v>
      </c>
      <c r="F25" s="2">
        <f t="shared" si="1"/>
        <v>0</v>
      </c>
      <c r="G25" s="3">
        <f t="shared" si="2"/>
        <v>0</v>
      </c>
    </row>
    <row r="26" spans="1:7" x14ac:dyDescent="0.25">
      <c r="A26">
        <v>4310401</v>
      </c>
      <c r="B26">
        <f t="shared" si="0"/>
        <v>7</v>
      </c>
      <c r="C26" t="s">
        <v>84</v>
      </c>
      <c r="D26" s="1">
        <v>1324217.8799999999</v>
      </c>
      <c r="E26" s="5">
        <f>VLOOKUP(A26,'Estado de resultados mayo'!$A$4:$C$69,3,FALSE)</f>
        <v>1324217.8799999999</v>
      </c>
      <c r="F26" s="2">
        <f t="shared" si="1"/>
        <v>0</v>
      </c>
      <c r="G26" s="3">
        <f t="shared" si="2"/>
        <v>0</v>
      </c>
    </row>
    <row r="27" spans="1:7" x14ac:dyDescent="0.25">
      <c r="A27">
        <v>5</v>
      </c>
      <c r="B27">
        <f t="shared" si="0"/>
        <v>1</v>
      </c>
      <c r="C27" t="s">
        <v>85</v>
      </c>
      <c r="D27" s="1">
        <v>5355688.67</v>
      </c>
      <c r="E27" s="5">
        <f>VLOOKUP(A27,'Estado de resultados mayo'!$A$4:$C$69,3,FALSE)</f>
        <v>4267165.55</v>
      </c>
      <c r="F27" s="2">
        <f t="shared" si="1"/>
        <v>1088523.1200000001</v>
      </c>
      <c r="G27" s="3">
        <f t="shared" si="2"/>
        <v>0.25509277932748592</v>
      </c>
    </row>
    <row r="28" spans="1:7" s="13" customFormat="1" x14ac:dyDescent="0.25">
      <c r="A28" s="13">
        <v>51</v>
      </c>
      <c r="B28" s="13">
        <f t="shared" si="0"/>
        <v>2</v>
      </c>
      <c r="C28" s="13" t="s">
        <v>86</v>
      </c>
      <c r="D28" s="14">
        <v>464694.1</v>
      </c>
      <c r="E28" s="15">
        <f>VLOOKUP(A28,'Estado de resultados mayo'!$A$4:$C$69,3,FALSE)</f>
        <v>377259.61</v>
      </c>
      <c r="F28" s="16">
        <f t="shared" si="1"/>
        <v>87434.489999999991</v>
      </c>
      <c r="G28" s="17">
        <f t="shared" si="2"/>
        <v>0.23176212794155196</v>
      </c>
    </row>
    <row r="29" spans="1:7" x14ac:dyDescent="0.25">
      <c r="A29">
        <v>511</v>
      </c>
      <c r="B29">
        <f t="shared" si="0"/>
        <v>3</v>
      </c>
      <c r="C29" t="s">
        <v>86</v>
      </c>
      <c r="D29" s="1">
        <v>464694.1</v>
      </c>
      <c r="E29" s="5">
        <f>VLOOKUP(A29,'Estado de resultados mayo'!$A$4:$C$69,3,FALSE)</f>
        <v>377259.61</v>
      </c>
      <c r="F29" s="2">
        <f t="shared" si="1"/>
        <v>87434.489999999991</v>
      </c>
      <c r="G29" s="3">
        <f t="shared" si="2"/>
        <v>0.23176212794155196</v>
      </c>
    </row>
    <row r="30" spans="1:7" x14ac:dyDescent="0.25">
      <c r="A30">
        <v>51101</v>
      </c>
      <c r="B30">
        <f t="shared" si="0"/>
        <v>5</v>
      </c>
      <c r="C30" t="s">
        <v>87</v>
      </c>
      <c r="D30" s="1">
        <v>462806.1</v>
      </c>
      <c r="E30" s="5">
        <f>VLOOKUP(A30,'Estado de resultados mayo'!$A$4:$C$69,3,FALSE)</f>
        <v>375371.61</v>
      </c>
      <c r="F30" s="2">
        <f t="shared" si="1"/>
        <v>87434.489999999991</v>
      </c>
      <c r="G30" s="3">
        <f t="shared" si="2"/>
        <v>0.23292781784962371</v>
      </c>
    </row>
    <row r="31" spans="1:7" x14ac:dyDescent="0.25">
      <c r="A31">
        <v>5110106</v>
      </c>
      <c r="B31">
        <f t="shared" si="0"/>
        <v>7</v>
      </c>
      <c r="C31" t="s">
        <v>88</v>
      </c>
      <c r="D31" s="1">
        <v>430806.1</v>
      </c>
      <c r="E31" s="5">
        <f>VLOOKUP(A31,'Estado de resultados mayo'!$A$4:$C$69,3,FALSE)</f>
        <v>351371.61</v>
      </c>
      <c r="F31" s="2">
        <f t="shared" si="1"/>
        <v>79434.489999999991</v>
      </c>
      <c r="G31" s="3">
        <f t="shared" si="2"/>
        <v>0.2260697442232171</v>
      </c>
    </row>
    <row r="32" spans="1:7" x14ac:dyDescent="0.25">
      <c r="A32">
        <v>5110139</v>
      </c>
      <c r="B32">
        <f t="shared" si="0"/>
        <v>7</v>
      </c>
      <c r="C32" t="s">
        <v>89</v>
      </c>
      <c r="D32" s="1">
        <v>32000</v>
      </c>
      <c r="E32" s="5">
        <f>VLOOKUP(A32,'Estado de resultados mayo'!$A$4:$C$69,3,FALSE)</f>
        <v>24000</v>
      </c>
      <c r="F32" s="2">
        <f t="shared" si="1"/>
        <v>8000</v>
      </c>
      <c r="G32" s="3">
        <f t="shared" si="2"/>
        <v>0.33333333333333331</v>
      </c>
    </row>
    <row r="33" spans="1:7" x14ac:dyDescent="0.25">
      <c r="A33">
        <v>51104</v>
      </c>
      <c r="B33">
        <f t="shared" si="0"/>
        <v>5</v>
      </c>
      <c r="C33" t="s">
        <v>90</v>
      </c>
      <c r="D33" s="1">
        <v>1888</v>
      </c>
      <c r="E33" s="5">
        <f>VLOOKUP(A33,'Estado de resultados mayo'!$A$4:$C$69,3,FALSE)</f>
        <v>1888</v>
      </c>
      <c r="F33" s="2">
        <f t="shared" si="1"/>
        <v>0</v>
      </c>
      <c r="G33" s="3">
        <f t="shared" si="2"/>
        <v>0</v>
      </c>
    </row>
    <row r="34" spans="1:7" x14ac:dyDescent="0.25">
      <c r="A34">
        <v>5110420</v>
      </c>
      <c r="B34">
        <f t="shared" si="0"/>
        <v>7</v>
      </c>
      <c r="C34" t="s">
        <v>91</v>
      </c>
      <c r="D34" s="1">
        <v>1888</v>
      </c>
      <c r="E34" s="5">
        <f>VLOOKUP(A34,'Estado de resultados mayo'!$A$4:$C$69,3,FALSE)</f>
        <v>1888</v>
      </c>
      <c r="F34" s="2">
        <f t="shared" si="1"/>
        <v>0</v>
      </c>
      <c r="G34" s="3">
        <f t="shared" si="2"/>
        <v>0</v>
      </c>
    </row>
    <row r="35" spans="1:7" s="13" customFormat="1" x14ac:dyDescent="0.25">
      <c r="A35" s="13">
        <v>52</v>
      </c>
      <c r="B35" s="13">
        <f t="shared" si="0"/>
        <v>2</v>
      </c>
      <c r="C35" s="13" t="s">
        <v>92</v>
      </c>
      <c r="D35" s="14">
        <v>70361.16</v>
      </c>
      <c r="E35" s="15">
        <f>VLOOKUP(A35,'Estado de resultados mayo'!$A$4:$C$69,3,FALSE)</f>
        <v>59439.24</v>
      </c>
      <c r="F35" s="16">
        <f t="shared" si="1"/>
        <v>10921.920000000006</v>
      </c>
      <c r="G35" s="17">
        <f t="shared" si="2"/>
        <v>0.18374932115551959</v>
      </c>
    </row>
    <row r="36" spans="1:7" x14ac:dyDescent="0.25">
      <c r="A36">
        <v>521</v>
      </c>
      <c r="B36">
        <f t="shared" si="0"/>
        <v>3</v>
      </c>
      <c r="C36" t="s">
        <v>92</v>
      </c>
      <c r="D36" s="1">
        <v>70361.16</v>
      </c>
      <c r="E36" s="5">
        <f>VLOOKUP(A36,'Estado de resultados mayo'!$A$4:$C$69,3,FALSE)</f>
        <v>59439.24</v>
      </c>
      <c r="F36" s="2">
        <f t="shared" si="1"/>
        <v>10921.920000000006</v>
      </c>
      <c r="G36" s="3">
        <f t="shared" si="2"/>
        <v>0.18374932115551959</v>
      </c>
    </row>
    <row r="37" spans="1:7" x14ac:dyDescent="0.25">
      <c r="A37">
        <v>52103</v>
      </c>
      <c r="B37">
        <f t="shared" si="0"/>
        <v>5</v>
      </c>
      <c r="C37" t="s">
        <v>93</v>
      </c>
      <c r="D37" s="1">
        <v>43698.52</v>
      </c>
      <c r="E37" s="5">
        <f>VLOOKUP(A37,'Estado de resultados mayo'!$A$4:$C$69,3,FALSE)</f>
        <v>36448.120000000003</v>
      </c>
      <c r="F37" s="2">
        <f t="shared" si="1"/>
        <v>7250.3999999999942</v>
      </c>
      <c r="G37" s="3">
        <f t="shared" si="2"/>
        <v>0.19892384024196566</v>
      </c>
    </row>
    <row r="38" spans="1:7" x14ac:dyDescent="0.25">
      <c r="A38">
        <v>5210303</v>
      </c>
      <c r="B38">
        <f t="shared" si="0"/>
        <v>7</v>
      </c>
      <c r="C38" t="s">
        <v>94</v>
      </c>
      <c r="D38" s="1">
        <v>37250.61</v>
      </c>
      <c r="E38" s="5">
        <f>VLOOKUP(A38,'Estado de resultados mayo'!$A$4:$C$69,3,FALSE)</f>
        <v>30000.21</v>
      </c>
      <c r="F38" s="2">
        <f t="shared" si="1"/>
        <v>7250.4000000000015</v>
      </c>
      <c r="G38" s="3">
        <f t="shared" si="2"/>
        <v>0.24167830825184231</v>
      </c>
    </row>
    <row r="39" spans="1:7" x14ac:dyDescent="0.25">
      <c r="A39">
        <v>5210304</v>
      </c>
      <c r="B39">
        <f t="shared" si="0"/>
        <v>7</v>
      </c>
      <c r="C39" t="s">
        <v>95</v>
      </c>
      <c r="D39" s="1">
        <v>6447.91</v>
      </c>
      <c r="E39" s="5">
        <f>VLOOKUP(A39,'Estado de resultados mayo'!$A$4:$C$69,3,FALSE)</f>
        <v>6447.91</v>
      </c>
      <c r="F39" s="2">
        <f t="shared" si="1"/>
        <v>0</v>
      </c>
      <c r="G39" s="3">
        <f t="shared" si="2"/>
        <v>0</v>
      </c>
    </row>
    <row r="40" spans="1:7" x14ac:dyDescent="0.25">
      <c r="A40">
        <v>52105</v>
      </c>
      <c r="B40">
        <f t="shared" si="0"/>
        <v>5</v>
      </c>
      <c r="C40" t="s">
        <v>96</v>
      </c>
      <c r="D40" s="1">
        <v>26662.639999999999</v>
      </c>
      <c r="E40" s="5">
        <f>VLOOKUP(A40,'Estado de resultados mayo'!$A$4:$C$69,3,FALSE)</f>
        <v>22991.119999999999</v>
      </c>
      <c r="F40" s="2">
        <f t="shared" si="1"/>
        <v>3671.5200000000004</v>
      </c>
      <c r="G40" s="3">
        <f t="shared" si="2"/>
        <v>0.15969295971662106</v>
      </c>
    </row>
    <row r="41" spans="1:7" x14ac:dyDescent="0.25">
      <c r="A41">
        <v>5210501</v>
      </c>
      <c r="B41">
        <f t="shared" si="0"/>
        <v>7</v>
      </c>
      <c r="C41" t="s">
        <v>97</v>
      </c>
      <c r="D41" s="1">
        <v>17436.93</v>
      </c>
      <c r="E41" s="5">
        <f>VLOOKUP(A41,'Estado de resultados mayo'!$A$4:$C$69,3,FALSE)</f>
        <v>13765.41</v>
      </c>
      <c r="F41" s="2">
        <f t="shared" si="1"/>
        <v>3671.5200000000004</v>
      </c>
      <c r="G41" s="3">
        <f t="shared" si="2"/>
        <v>0.26672071518392843</v>
      </c>
    </row>
    <row r="42" spans="1:7" x14ac:dyDescent="0.25">
      <c r="A42">
        <v>5210599</v>
      </c>
      <c r="B42">
        <f t="shared" si="0"/>
        <v>7</v>
      </c>
      <c r="C42" t="s">
        <v>98</v>
      </c>
      <c r="D42" s="1">
        <v>9225.7099999999991</v>
      </c>
      <c r="E42" s="5">
        <f>VLOOKUP(A42,'Estado de resultados mayo'!$A$4:$C$69,3,FALSE)</f>
        <v>9225.7099999999991</v>
      </c>
      <c r="F42" s="2">
        <f t="shared" si="1"/>
        <v>0</v>
      </c>
      <c r="G42" s="3">
        <f t="shared" si="2"/>
        <v>0</v>
      </c>
    </row>
    <row r="43" spans="1:7" s="13" customFormat="1" x14ac:dyDescent="0.25">
      <c r="A43" s="13">
        <v>53</v>
      </c>
      <c r="B43" s="13">
        <f t="shared" si="0"/>
        <v>2</v>
      </c>
      <c r="C43" s="13" t="s">
        <v>99</v>
      </c>
      <c r="D43" s="14">
        <v>4820614.0999999996</v>
      </c>
      <c r="E43" s="15">
        <f>VLOOKUP(A43,'Estado de resultados mayo'!$A$4:$C$69,3,FALSE)</f>
        <v>3830466.7</v>
      </c>
      <c r="F43" s="16">
        <f t="shared" si="1"/>
        <v>990147.39999999944</v>
      </c>
      <c r="G43" s="17">
        <f t="shared" si="2"/>
        <v>0.25849262702114062</v>
      </c>
    </row>
    <row r="44" spans="1:7" x14ac:dyDescent="0.25">
      <c r="A44">
        <v>531</v>
      </c>
      <c r="B44">
        <f t="shared" si="0"/>
        <v>3</v>
      </c>
      <c r="C44" t="s">
        <v>99</v>
      </c>
      <c r="D44" s="1">
        <v>4820614.0999999996</v>
      </c>
      <c r="E44" s="5">
        <f>VLOOKUP(A44,'Estado de resultados mayo'!$A$4:$C$69,3,FALSE)</f>
        <v>3830466.7</v>
      </c>
      <c r="F44" s="2">
        <f t="shared" si="1"/>
        <v>990147.39999999944</v>
      </c>
      <c r="G44" s="3">
        <f t="shared" si="2"/>
        <v>0.25849262702114062</v>
      </c>
    </row>
    <row r="45" spans="1:7" x14ac:dyDescent="0.25">
      <c r="A45">
        <v>53101</v>
      </c>
      <c r="B45">
        <f t="shared" si="0"/>
        <v>5</v>
      </c>
      <c r="C45" t="s">
        <v>100</v>
      </c>
      <c r="D45" s="1">
        <v>2222798.4</v>
      </c>
      <c r="E45" s="5">
        <f>VLOOKUP(A45,'Estado de resultados mayo'!$A$4:$C$69,3,FALSE)</f>
        <v>1818459.69</v>
      </c>
      <c r="F45" s="2">
        <f t="shared" si="1"/>
        <v>404338.70999999996</v>
      </c>
      <c r="G45" s="3">
        <f t="shared" si="2"/>
        <v>0.22235230850786689</v>
      </c>
    </row>
    <row r="46" spans="1:7" x14ac:dyDescent="0.25">
      <c r="A46">
        <v>5310101</v>
      </c>
      <c r="B46">
        <f t="shared" si="0"/>
        <v>7</v>
      </c>
      <c r="C46" t="s">
        <v>101</v>
      </c>
      <c r="D46" s="1">
        <v>1275181.82</v>
      </c>
      <c r="E46" s="5">
        <f>VLOOKUP(A46,'Estado de resultados mayo'!$A$4:$C$69,3,FALSE)</f>
        <v>1011306.81</v>
      </c>
      <c r="F46" s="2">
        <f t="shared" si="1"/>
        <v>263875.01</v>
      </c>
      <c r="G46" s="3">
        <f t="shared" si="2"/>
        <v>0.26092478305372035</v>
      </c>
    </row>
    <row r="47" spans="1:7" x14ac:dyDescent="0.25">
      <c r="A47">
        <v>5310102</v>
      </c>
      <c r="B47">
        <f t="shared" si="0"/>
        <v>7</v>
      </c>
      <c r="C47" t="s">
        <v>102</v>
      </c>
      <c r="D47" s="1">
        <v>106552.59</v>
      </c>
      <c r="E47" s="5">
        <f>VLOOKUP(A47,'Estado de resultados mayo'!$A$4:$C$69,3,FALSE)</f>
        <v>84451.73</v>
      </c>
      <c r="F47" s="2">
        <f t="shared" si="1"/>
        <v>22100.86</v>
      </c>
      <c r="G47" s="3">
        <f t="shared" si="2"/>
        <v>0.26169813217562271</v>
      </c>
    </row>
    <row r="48" spans="1:7" x14ac:dyDescent="0.25">
      <c r="A48">
        <v>5310105</v>
      </c>
      <c r="B48">
        <f t="shared" si="0"/>
        <v>7</v>
      </c>
      <c r="C48" t="s">
        <v>103</v>
      </c>
      <c r="D48" s="1">
        <v>334885.87</v>
      </c>
      <c r="E48" s="5">
        <f>VLOOKUP(A48,'Estado de resultados mayo'!$A$4:$C$69,3,FALSE)</f>
        <v>279407.27</v>
      </c>
      <c r="F48" s="2">
        <f t="shared" si="1"/>
        <v>55478.599999999977</v>
      </c>
      <c r="G48" s="3">
        <f t="shared" si="2"/>
        <v>0.19855818354332719</v>
      </c>
    </row>
    <row r="49" spans="1:7" x14ac:dyDescent="0.25">
      <c r="A49">
        <v>5310107</v>
      </c>
      <c r="B49">
        <f t="shared" si="0"/>
        <v>7</v>
      </c>
      <c r="C49" t="s">
        <v>104</v>
      </c>
      <c r="D49" s="1">
        <v>12955</v>
      </c>
      <c r="E49" s="5">
        <f>VLOOKUP(A49,'Estado de resultados mayo'!$A$4:$C$69,3,FALSE)</f>
        <v>10316</v>
      </c>
      <c r="F49" s="2">
        <f t="shared" si="1"/>
        <v>2639</v>
      </c>
      <c r="G49" s="3">
        <f t="shared" si="2"/>
        <v>0.2558162078324932</v>
      </c>
    </row>
    <row r="50" spans="1:7" x14ac:dyDescent="0.25">
      <c r="A50">
        <v>5310109</v>
      </c>
      <c r="B50">
        <f t="shared" si="0"/>
        <v>7</v>
      </c>
      <c r="C50" t="s">
        <v>105</v>
      </c>
      <c r="D50" s="1">
        <v>91975.6</v>
      </c>
      <c r="E50" s="5">
        <f>VLOOKUP(A50,'Estado de resultados mayo'!$A$4:$C$69,3,FALSE)</f>
        <v>73240.47</v>
      </c>
      <c r="F50" s="2">
        <f t="shared" si="1"/>
        <v>18735.130000000005</v>
      </c>
      <c r="G50" s="3">
        <f t="shared" si="2"/>
        <v>0.25580297341073871</v>
      </c>
    </row>
    <row r="51" spans="1:7" x14ac:dyDescent="0.25">
      <c r="A51">
        <v>5310110</v>
      </c>
      <c r="B51">
        <f t="shared" si="0"/>
        <v>7</v>
      </c>
      <c r="C51" t="s">
        <v>106</v>
      </c>
      <c r="D51" s="1">
        <v>20356.689999999999</v>
      </c>
      <c r="E51" s="5">
        <f>VLOOKUP(A51,'Estado de resultados mayo'!$A$4:$C$69,3,FALSE)</f>
        <v>20356.689999999999</v>
      </c>
      <c r="F51" s="2">
        <f t="shared" si="1"/>
        <v>0</v>
      </c>
      <c r="G51" s="3">
        <f t="shared" si="2"/>
        <v>0</v>
      </c>
    </row>
    <row r="52" spans="1:7" x14ac:dyDescent="0.25">
      <c r="A52">
        <v>5310114</v>
      </c>
      <c r="B52">
        <f t="shared" si="0"/>
        <v>7</v>
      </c>
      <c r="C52" t="s">
        <v>107</v>
      </c>
      <c r="D52" s="1">
        <v>97388.61</v>
      </c>
      <c r="E52" s="5">
        <f>VLOOKUP(A52,'Estado de resultados mayo'!$A$4:$C$69,3,FALSE)</f>
        <v>77756.11</v>
      </c>
      <c r="F52" s="2">
        <f t="shared" si="1"/>
        <v>19632.5</v>
      </c>
      <c r="G52" s="3">
        <f t="shared" si="2"/>
        <v>0.25248819674749673</v>
      </c>
    </row>
    <row r="53" spans="1:7" x14ac:dyDescent="0.25">
      <c r="A53">
        <v>5310115</v>
      </c>
      <c r="B53">
        <f t="shared" si="0"/>
        <v>7</v>
      </c>
      <c r="C53" t="s">
        <v>108</v>
      </c>
      <c r="D53" s="1">
        <v>11162.71</v>
      </c>
      <c r="E53" s="5">
        <f>VLOOKUP(A53,'Estado de resultados mayo'!$A$4:$C$69,3,FALSE)</f>
        <v>8995.1</v>
      </c>
      <c r="F53" s="2">
        <f t="shared" si="1"/>
        <v>2167.6099999999988</v>
      </c>
      <c r="G53" s="3">
        <f t="shared" si="2"/>
        <v>0.24097675401051669</v>
      </c>
    </row>
    <row r="54" spans="1:7" x14ac:dyDescent="0.25">
      <c r="A54">
        <v>5310116</v>
      </c>
      <c r="B54">
        <f t="shared" si="0"/>
        <v>7</v>
      </c>
      <c r="C54" t="s">
        <v>109</v>
      </c>
      <c r="D54" s="1">
        <v>23734</v>
      </c>
      <c r="E54" s="5">
        <f>VLOOKUP(A54,'Estado de resultados mayo'!$A$4:$C$69,3,FALSE)</f>
        <v>23734</v>
      </c>
      <c r="F54" s="2">
        <f t="shared" si="1"/>
        <v>0</v>
      </c>
      <c r="G54" s="3">
        <f t="shared" si="2"/>
        <v>0</v>
      </c>
    </row>
    <row r="55" spans="1:7" x14ac:dyDescent="0.25">
      <c r="A55">
        <v>5310119</v>
      </c>
      <c r="B55">
        <f t="shared" si="0"/>
        <v>7</v>
      </c>
      <c r="C55" t="s">
        <v>110</v>
      </c>
      <c r="D55" s="1">
        <v>153600.51</v>
      </c>
      <c r="E55" s="5">
        <f>VLOOKUP(A55,'Estado de resultados mayo'!$A$4:$C$69,3,FALSE)</f>
        <v>153600.51</v>
      </c>
      <c r="F55" s="2">
        <f t="shared" si="1"/>
        <v>0</v>
      </c>
      <c r="G55" s="3">
        <f t="shared" si="2"/>
        <v>0</v>
      </c>
    </row>
    <row r="56" spans="1:7" x14ac:dyDescent="0.25">
      <c r="A56">
        <v>5310121</v>
      </c>
      <c r="B56">
        <f t="shared" si="0"/>
        <v>7</v>
      </c>
      <c r="C56" t="s">
        <v>111</v>
      </c>
      <c r="D56" s="1">
        <v>49345</v>
      </c>
      <c r="E56" s="5">
        <f>VLOOKUP(A56,'Estado de resultados mayo'!$A$4:$C$69,3,FALSE)</f>
        <v>45895</v>
      </c>
      <c r="F56" s="2">
        <f t="shared" si="1"/>
        <v>3450</v>
      </c>
      <c r="G56" s="3">
        <f t="shared" si="2"/>
        <v>7.5171587318880045E-2</v>
      </c>
    </row>
    <row r="57" spans="1:7" x14ac:dyDescent="0.25">
      <c r="A57">
        <v>5310125</v>
      </c>
      <c r="B57">
        <f t="shared" si="0"/>
        <v>7</v>
      </c>
      <c r="C57" t="s">
        <v>112</v>
      </c>
      <c r="D57" s="1">
        <v>6460</v>
      </c>
      <c r="E57" s="5">
        <v>0</v>
      </c>
      <c r="F57" s="2">
        <f t="shared" si="1"/>
        <v>6460</v>
      </c>
      <c r="G57" s="3">
        <f t="shared" si="2"/>
        <v>1</v>
      </c>
    </row>
    <row r="58" spans="1:7" x14ac:dyDescent="0.25">
      <c r="A58">
        <v>5310126</v>
      </c>
      <c r="B58">
        <f t="shared" si="0"/>
        <v>7</v>
      </c>
      <c r="C58" t="s">
        <v>113</v>
      </c>
      <c r="D58" s="1">
        <v>39200</v>
      </c>
      <c r="E58" s="5">
        <f>VLOOKUP(A58,'Estado de resultados mayo'!$A$4:$C$69,3,FALSE)</f>
        <v>29400</v>
      </c>
      <c r="F58" s="2">
        <f t="shared" si="1"/>
        <v>9800</v>
      </c>
      <c r="G58" s="3">
        <f t="shared" si="2"/>
        <v>0.33333333333333331</v>
      </c>
    </row>
    <row r="59" spans="1:7" x14ac:dyDescent="0.25">
      <c r="A59">
        <v>53102</v>
      </c>
      <c r="B59">
        <f t="shared" si="0"/>
        <v>5</v>
      </c>
      <c r="C59" t="s">
        <v>114</v>
      </c>
      <c r="D59" s="1">
        <v>510170.98</v>
      </c>
      <c r="E59" s="5">
        <f>VLOOKUP(A59,'Estado de resultados mayo'!$A$4:$C$69,3,FALSE)</f>
        <v>418546.78</v>
      </c>
      <c r="F59" s="2">
        <f t="shared" si="1"/>
        <v>91624.199999999953</v>
      </c>
      <c r="G59" s="3">
        <f t="shared" si="2"/>
        <v>0.21891029719545316</v>
      </c>
    </row>
    <row r="60" spans="1:7" x14ac:dyDescent="0.25">
      <c r="A60">
        <v>5310201</v>
      </c>
      <c r="B60">
        <f t="shared" si="0"/>
        <v>7</v>
      </c>
      <c r="C60" t="s">
        <v>115</v>
      </c>
      <c r="D60" s="1">
        <v>232173.16</v>
      </c>
      <c r="E60" s="5">
        <f>VLOOKUP(A60,'Estado de resultados mayo'!$A$4:$C$69,3,FALSE)</f>
        <v>193286.52</v>
      </c>
      <c r="F60" s="2">
        <f t="shared" si="1"/>
        <v>38886.640000000014</v>
      </c>
      <c r="G60" s="3">
        <f t="shared" si="2"/>
        <v>0.20118650798824469</v>
      </c>
    </row>
    <row r="61" spans="1:7" x14ac:dyDescent="0.25">
      <c r="A61">
        <v>5310206</v>
      </c>
      <c r="B61">
        <f t="shared" si="0"/>
        <v>7</v>
      </c>
      <c r="C61" t="s">
        <v>116</v>
      </c>
      <c r="D61" s="1">
        <v>94551.22</v>
      </c>
      <c r="E61" s="5">
        <f>VLOOKUP(A61,'Estado de resultados mayo'!$A$4:$C$69,3,FALSE)</f>
        <v>87770.26</v>
      </c>
      <c r="F61" s="2">
        <f t="shared" si="1"/>
        <v>6780.9600000000064</v>
      </c>
      <c r="G61" s="3">
        <f t="shared" si="2"/>
        <v>7.7258059848518246E-2</v>
      </c>
    </row>
    <row r="62" spans="1:7" x14ac:dyDescent="0.25">
      <c r="A62">
        <v>5310215</v>
      </c>
      <c r="B62">
        <f t="shared" si="0"/>
        <v>7</v>
      </c>
      <c r="C62" t="s">
        <v>117</v>
      </c>
      <c r="D62" s="1">
        <v>183446.6</v>
      </c>
      <c r="E62" s="5">
        <f>VLOOKUP(A62,'Estado de resultados mayo'!$A$4:$C$69,3,FALSE)</f>
        <v>137490</v>
      </c>
      <c r="F62" s="2">
        <f t="shared" si="1"/>
        <v>45956.600000000006</v>
      </c>
      <c r="G62" s="3">
        <f t="shared" si="2"/>
        <v>0.33425412757291445</v>
      </c>
    </row>
    <row r="63" spans="1:7" x14ac:dyDescent="0.25">
      <c r="A63">
        <v>53103</v>
      </c>
      <c r="B63">
        <f t="shared" si="0"/>
        <v>5</v>
      </c>
      <c r="C63" t="s">
        <v>118</v>
      </c>
      <c r="D63" s="1">
        <v>388996.64</v>
      </c>
      <c r="E63" s="5">
        <f>VLOOKUP(A63,'Estado de resultados mayo'!$A$4:$C$69,3,FALSE)</f>
        <v>314762.84999999998</v>
      </c>
      <c r="F63" s="2">
        <f t="shared" si="1"/>
        <v>74233.790000000037</v>
      </c>
      <c r="G63" s="3">
        <f t="shared" si="2"/>
        <v>0.23584037951111461</v>
      </c>
    </row>
    <row r="64" spans="1:7" x14ac:dyDescent="0.25">
      <c r="A64">
        <v>5310302</v>
      </c>
      <c r="B64">
        <f t="shared" si="0"/>
        <v>7</v>
      </c>
      <c r="C64" t="s">
        <v>119</v>
      </c>
      <c r="D64" s="1">
        <v>388996.64</v>
      </c>
      <c r="E64" s="5">
        <f>VLOOKUP(A64,'Estado de resultados mayo'!$A$4:$C$69,3,FALSE)</f>
        <v>314762.84999999998</v>
      </c>
      <c r="F64" s="2">
        <f t="shared" si="1"/>
        <v>74233.790000000037</v>
      </c>
      <c r="G64" s="3">
        <f t="shared" si="2"/>
        <v>0.23584037951111461</v>
      </c>
    </row>
    <row r="65" spans="1:7" x14ac:dyDescent="0.25">
      <c r="A65">
        <v>53105</v>
      </c>
      <c r="B65">
        <f t="shared" si="0"/>
        <v>5</v>
      </c>
      <c r="C65" t="s">
        <v>120</v>
      </c>
      <c r="D65" s="1">
        <v>22893.05</v>
      </c>
      <c r="E65" s="5">
        <v>0</v>
      </c>
      <c r="F65" s="2">
        <f t="shared" si="1"/>
        <v>22893.05</v>
      </c>
      <c r="G65" s="3">
        <f t="shared" si="2"/>
        <v>1</v>
      </c>
    </row>
    <row r="66" spans="1:7" x14ac:dyDescent="0.25">
      <c r="A66">
        <v>5310506</v>
      </c>
      <c r="B66">
        <f t="shared" si="0"/>
        <v>7</v>
      </c>
      <c r="C66" t="s">
        <v>121</v>
      </c>
      <c r="D66" s="1">
        <v>22893.05</v>
      </c>
      <c r="E66" s="5">
        <v>0</v>
      </c>
      <c r="F66" s="2">
        <f t="shared" si="1"/>
        <v>22893.05</v>
      </c>
      <c r="G66" s="3">
        <f t="shared" si="2"/>
        <v>1</v>
      </c>
    </row>
    <row r="67" spans="1:7" x14ac:dyDescent="0.25">
      <c r="A67">
        <v>53107</v>
      </c>
      <c r="B67">
        <f t="shared" si="0"/>
        <v>5</v>
      </c>
      <c r="C67" t="s">
        <v>122</v>
      </c>
      <c r="D67" s="1">
        <v>291723.86</v>
      </c>
      <c r="E67" s="5">
        <f>VLOOKUP(A67,'Estado de resultados mayo'!$A$4:$C$69,3,FALSE)</f>
        <v>228175.19</v>
      </c>
      <c r="F67" s="2">
        <f t="shared" si="1"/>
        <v>63548.669999999984</v>
      </c>
      <c r="G67" s="3">
        <f t="shared" si="2"/>
        <v>0.2785082374643798</v>
      </c>
    </row>
    <row r="68" spans="1:7" x14ac:dyDescent="0.25">
      <c r="A68">
        <v>5310701</v>
      </c>
      <c r="B68">
        <f t="shared" si="0"/>
        <v>7</v>
      </c>
      <c r="C68" t="s">
        <v>123</v>
      </c>
      <c r="D68" s="1">
        <v>289787.06</v>
      </c>
      <c r="E68" s="5">
        <f>VLOOKUP(A68,'Estado de resultados mayo'!$A$4:$C$69,3,FALSE)</f>
        <v>226883.99</v>
      </c>
      <c r="F68" s="2">
        <f t="shared" si="1"/>
        <v>62903.070000000007</v>
      </c>
      <c r="G68" s="3">
        <f t="shared" si="2"/>
        <v>0.27724772470723918</v>
      </c>
    </row>
    <row r="69" spans="1:7" x14ac:dyDescent="0.25">
      <c r="A69">
        <v>5310702</v>
      </c>
      <c r="B69">
        <f t="shared" si="0"/>
        <v>7</v>
      </c>
      <c r="C69" t="s">
        <v>124</v>
      </c>
      <c r="D69" s="1">
        <v>1936.8</v>
      </c>
      <c r="E69" s="5">
        <f>VLOOKUP(A69,'Estado de resultados mayo'!$A$4:$C$69,3,FALSE)</f>
        <v>1291.2</v>
      </c>
      <c r="F69" s="2">
        <f t="shared" si="1"/>
        <v>645.59999999999991</v>
      </c>
      <c r="G69" s="3">
        <f t="shared" si="2"/>
        <v>0.49999999999999989</v>
      </c>
    </row>
    <row r="70" spans="1:7" x14ac:dyDescent="0.25">
      <c r="A70">
        <v>53108</v>
      </c>
      <c r="B70">
        <f t="shared" si="0"/>
        <v>5</v>
      </c>
      <c r="C70" t="s">
        <v>125</v>
      </c>
      <c r="D70" s="1">
        <v>1384031.17</v>
      </c>
      <c r="E70" s="5">
        <f>VLOOKUP(A70,'Estado de resultados mayo'!$A$4:$C$69,3,FALSE)</f>
        <v>1050522.19</v>
      </c>
      <c r="F70" s="2">
        <f t="shared" si="1"/>
        <v>333508.98</v>
      </c>
      <c r="G70" s="3">
        <f t="shared" si="2"/>
        <v>0.31746971475205105</v>
      </c>
    </row>
    <row r="71" spans="1:7" x14ac:dyDescent="0.25">
      <c r="A71">
        <v>5310801</v>
      </c>
      <c r="B71">
        <f t="shared" si="0"/>
        <v>7</v>
      </c>
      <c r="C71" t="s">
        <v>126</v>
      </c>
      <c r="D71" s="1">
        <v>360682</v>
      </c>
      <c r="E71" s="5">
        <f>VLOOKUP(A71,'Estado de resultados mayo'!$A$4:$C$69,3,FALSE)</f>
        <v>305682</v>
      </c>
      <c r="F71" s="2">
        <f t="shared" si="1"/>
        <v>55000</v>
      </c>
      <c r="G71" s="3">
        <f t="shared" si="2"/>
        <v>0.17992554353871015</v>
      </c>
    </row>
    <row r="72" spans="1:7" x14ac:dyDescent="0.25">
      <c r="A72">
        <v>5310802</v>
      </c>
      <c r="B72">
        <f t="shared" si="0"/>
        <v>7</v>
      </c>
      <c r="C72" t="s">
        <v>127</v>
      </c>
      <c r="D72" s="1">
        <v>303650.89</v>
      </c>
      <c r="E72" s="5">
        <f>VLOOKUP(A72,'Estado de resultados mayo'!$A$4:$C$69,3,FALSE)</f>
        <v>250941.91</v>
      </c>
      <c r="F72" s="2">
        <f t="shared" si="1"/>
        <v>52708.98000000001</v>
      </c>
      <c r="G72" s="3">
        <f t="shared" si="2"/>
        <v>0.21004454776007725</v>
      </c>
    </row>
    <row r="73" spans="1:7" x14ac:dyDescent="0.25">
      <c r="A73">
        <v>5310806</v>
      </c>
      <c r="B73">
        <f t="shared" si="0"/>
        <v>7</v>
      </c>
      <c r="C73" t="s">
        <v>128</v>
      </c>
      <c r="D73" s="1">
        <v>32640</v>
      </c>
      <c r="E73" s="5">
        <f>VLOOKUP(A73,'Estado de resultados mayo'!$A$4:$C$69,3,FALSE)</f>
        <v>16840</v>
      </c>
      <c r="F73" s="2">
        <f t="shared" si="1"/>
        <v>15800</v>
      </c>
      <c r="G73" s="3">
        <f t="shared" si="2"/>
        <v>0.93824228028503565</v>
      </c>
    </row>
    <row r="74" spans="1:7" x14ac:dyDescent="0.25">
      <c r="A74">
        <v>5310811</v>
      </c>
      <c r="B74">
        <f t="shared" ref="B74:B82" si="3">LEN(A74)</f>
        <v>7</v>
      </c>
      <c r="C74" t="s">
        <v>129</v>
      </c>
      <c r="D74" s="1">
        <v>4644.42</v>
      </c>
      <c r="E74" s="5">
        <f>VLOOKUP(A74,'Estado de resultados mayo'!$A$4:$C$69,3,FALSE)</f>
        <v>4644.42</v>
      </c>
      <c r="F74" s="2">
        <f t="shared" ref="F74:F82" si="4">D74-E74</f>
        <v>0</v>
      </c>
      <c r="G74" s="3">
        <f t="shared" ref="G74:G82" si="5">IFERROR((F74/E74),100%)</f>
        <v>0</v>
      </c>
    </row>
    <row r="75" spans="1:7" x14ac:dyDescent="0.25">
      <c r="A75">
        <v>5310825</v>
      </c>
      <c r="B75">
        <f t="shared" si="3"/>
        <v>7</v>
      </c>
      <c r="C75" t="s">
        <v>130</v>
      </c>
      <c r="D75" s="1">
        <v>17113.86</v>
      </c>
      <c r="E75" s="5">
        <f>VLOOKUP(A75,'Estado de resultados mayo'!$A$4:$C$69,3,FALSE)</f>
        <v>17113.86</v>
      </c>
      <c r="F75" s="2">
        <f t="shared" si="4"/>
        <v>0</v>
      </c>
      <c r="G75" s="3">
        <f t="shared" si="5"/>
        <v>0</v>
      </c>
    </row>
    <row r="76" spans="1:7" x14ac:dyDescent="0.25">
      <c r="A76">
        <v>5310832</v>
      </c>
      <c r="B76">
        <f t="shared" si="3"/>
        <v>7</v>
      </c>
      <c r="C76" t="s">
        <v>131</v>
      </c>
      <c r="D76" s="1">
        <v>5300</v>
      </c>
      <c r="E76" s="5">
        <f>VLOOKUP(A76,'Estado de resultados mayo'!$A$4:$C$69,3,FALSE)</f>
        <v>5300</v>
      </c>
      <c r="F76" s="2">
        <f t="shared" si="4"/>
        <v>0</v>
      </c>
      <c r="G76" s="3">
        <f t="shared" si="5"/>
        <v>0</v>
      </c>
    </row>
    <row r="77" spans="1:7" x14ac:dyDescent="0.25">
      <c r="A77">
        <v>5310835</v>
      </c>
      <c r="B77">
        <f t="shared" si="3"/>
        <v>7</v>
      </c>
      <c r="C77" t="s">
        <v>132</v>
      </c>
      <c r="D77" s="1">
        <v>600000</v>
      </c>
      <c r="E77" s="5">
        <f>VLOOKUP(A77,'Estado de resultados mayo'!$A$4:$C$69,3,FALSE)</f>
        <v>450000</v>
      </c>
      <c r="F77" s="2">
        <f t="shared" si="4"/>
        <v>150000</v>
      </c>
      <c r="G77" s="3">
        <f t="shared" si="5"/>
        <v>0.33333333333333331</v>
      </c>
    </row>
    <row r="78" spans="1:7" x14ac:dyDescent="0.25">
      <c r="A78">
        <v>5310837</v>
      </c>
      <c r="B78">
        <f t="shared" si="3"/>
        <v>7</v>
      </c>
      <c r="C78" t="s">
        <v>133</v>
      </c>
      <c r="D78" s="1">
        <v>60000</v>
      </c>
      <c r="E78" s="5">
        <v>0</v>
      </c>
      <c r="F78" s="2">
        <f t="shared" si="4"/>
        <v>60000</v>
      </c>
      <c r="G78" s="3">
        <f t="shared" si="5"/>
        <v>1</v>
      </c>
    </row>
    <row r="79" spans="1:7" s="13" customFormat="1" x14ac:dyDescent="0.25">
      <c r="A79" s="13">
        <v>56</v>
      </c>
      <c r="B79" s="13">
        <f t="shared" si="3"/>
        <v>2</v>
      </c>
      <c r="C79" s="13" t="s">
        <v>134</v>
      </c>
      <c r="D79" s="13">
        <v>19.309999999999999</v>
      </c>
      <c r="E79" s="15">
        <v>0</v>
      </c>
      <c r="F79" s="16">
        <f t="shared" si="4"/>
        <v>19.309999999999999</v>
      </c>
      <c r="G79" s="17">
        <f t="shared" si="5"/>
        <v>1</v>
      </c>
    </row>
    <row r="80" spans="1:7" x14ac:dyDescent="0.25">
      <c r="A80">
        <v>561</v>
      </c>
      <c r="B80">
        <f t="shared" si="3"/>
        <v>3</v>
      </c>
      <c r="C80" t="s">
        <v>135</v>
      </c>
      <c r="D80">
        <v>19.309999999999999</v>
      </c>
      <c r="E80" s="5">
        <v>0</v>
      </c>
      <c r="F80" s="2">
        <f t="shared" si="4"/>
        <v>19.309999999999999</v>
      </c>
      <c r="G80" s="3">
        <f t="shared" si="5"/>
        <v>1</v>
      </c>
    </row>
    <row r="81" spans="1:7" x14ac:dyDescent="0.25">
      <c r="A81">
        <v>56101</v>
      </c>
      <c r="B81">
        <f t="shared" si="3"/>
        <v>5</v>
      </c>
      <c r="C81" t="s">
        <v>136</v>
      </c>
      <c r="D81">
        <v>19.309999999999999</v>
      </c>
      <c r="E81" s="5">
        <v>0</v>
      </c>
      <c r="F81" s="2">
        <f t="shared" si="4"/>
        <v>19.309999999999999</v>
      </c>
      <c r="G81" s="3">
        <f t="shared" si="5"/>
        <v>1</v>
      </c>
    </row>
    <row r="82" spans="1:7" x14ac:dyDescent="0.25">
      <c r="A82">
        <v>5610101</v>
      </c>
      <c r="B82">
        <f t="shared" si="3"/>
        <v>7</v>
      </c>
      <c r="C82" t="s">
        <v>137</v>
      </c>
      <c r="D82">
        <v>19.309999999999999</v>
      </c>
      <c r="E82" s="5">
        <v>0</v>
      </c>
      <c r="F82" s="2">
        <f t="shared" si="4"/>
        <v>19.309999999999999</v>
      </c>
      <c r="G82" s="3">
        <f t="shared" si="5"/>
        <v>1</v>
      </c>
    </row>
    <row r="87" spans="1:7" x14ac:dyDescent="0.25">
      <c r="C87" s="12">
        <f>5000000-1500000+150000</f>
        <v>3650000</v>
      </c>
      <c r="E87" s="4">
        <v>180000</v>
      </c>
    </row>
    <row r="88" spans="1:7" x14ac:dyDescent="0.25">
      <c r="C88" s="12">
        <v>5000000</v>
      </c>
      <c r="E88" s="4">
        <f>+E87/17</f>
        <v>10588.235294117647</v>
      </c>
    </row>
    <row r="89" spans="1:7" x14ac:dyDescent="0.25">
      <c r="C89" s="12">
        <f>C88-1500000-150000</f>
        <v>3350000</v>
      </c>
    </row>
    <row r="91" spans="1:7" x14ac:dyDescent="0.25">
      <c r="C91">
        <f>2.5*-1</f>
        <v>-2.5</v>
      </c>
    </row>
    <row r="92" spans="1:7" x14ac:dyDescent="0.25">
      <c r="C92" s="12">
        <f>0.2*6.25</f>
        <v>1.25</v>
      </c>
      <c r="D92" s="12"/>
    </row>
    <row r="93" spans="1:7" x14ac:dyDescent="0.25">
      <c r="C93">
        <f>980-2.5</f>
        <v>977.5</v>
      </c>
    </row>
  </sheetData>
  <autoFilter ref="A8:G82"/>
  <mergeCells count="4">
    <mergeCell ref="A3:G3"/>
    <mergeCell ref="A4:G4"/>
    <mergeCell ref="A5:G5"/>
    <mergeCell ref="A6:G6"/>
  </mergeCells>
  <pageMargins left="0.7" right="0.7" top="0.75" bottom="0.75" header="0.3" footer="0.3"/>
  <pageSetup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zoomScale="85" zoomScaleNormal="85" workbookViewId="0">
      <selection activeCell="B27" activeCellId="1" sqref="A26:G27 B27"/>
    </sheetView>
  </sheetViews>
  <sheetFormatPr baseColWidth="10" defaultRowHeight="15" x14ac:dyDescent="0.25"/>
  <cols>
    <col min="2" max="2" width="30.140625" customWidth="1"/>
    <col min="3" max="3" width="17.42578125" customWidth="1"/>
    <col min="4" max="4" width="5" customWidth="1"/>
    <col min="5" max="5" width="17.140625" customWidth="1"/>
    <col min="6" max="6" width="6" customWidth="1"/>
    <col min="7" max="7" width="14.5703125" customWidth="1"/>
    <col min="8" max="8" width="4.28515625" customWidth="1"/>
    <col min="9" max="9" width="9.140625" customWidth="1"/>
    <col min="11" max="11" width="13.140625" bestFit="1" customWidth="1"/>
  </cols>
  <sheetData>
    <row r="1" spans="2:11" x14ac:dyDescent="0.25">
      <c r="E1" s="4"/>
      <c r="F1" s="4"/>
    </row>
    <row r="2" spans="2:11" x14ac:dyDescent="0.25">
      <c r="E2" s="4"/>
      <c r="F2" s="4"/>
    </row>
    <row r="3" spans="2:11" ht="62.25" customHeight="1" x14ac:dyDescent="0.25">
      <c r="B3" s="236" t="s">
        <v>63</v>
      </c>
      <c r="C3" s="236"/>
      <c r="D3" s="236"/>
      <c r="E3" s="236"/>
      <c r="F3" s="236"/>
      <c r="G3" s="236"/>
      <c r="H3" s="236"/>
      <c r="I3" s="236"/>
    </row>
    <row r="4" spans="2:11" x14ac:dyDescent="0.25">
      <c r="B4" s="237" t="s">
        <v>65</v>
      </c>
      <c r="C4" s="237"/>
      <c r="D4" s="237"/>
      <c r="E4" s="237"/>
      <c r="F4" s="237"/>
      <c r="G4" s="237"/>
      <c r="H4" s="237"/>
      <c r="I4" s="237"/>
    </row>
    <row r="5" spans="2:11" x14ac:dyDescent="0.25">
      <c r="B5" s="237" t="s">
        <v>66</v>
      </c>
      <c r="C5" s="237"/>
      <c r="D5" s="237"/>
      <c r="E5" s="237"/>
      <c r="F5" s="237"/>
      <c r="G5" s="237"/>
      <c r="H5" s="237"/>
      <c r="I5" s="237"/>
    </row>
    <row r="6" spans="2:11" x14ac:dyDescent="0.25">
      <c r="B6" s="237" t="s">
        <v>64</v>
      </c>
      <c r="C6" s="237"/>
      <c r="D6" s="237"/>
      <c r="E6" s="237"/>
      <c r="F6" s="237"/>
      <c r="G6" s="237"/>
      <c r="H6" s="237"/>
      <c r="I6" s="237"/>
    </row>
    <row r="9" spans="2:11" x14ac:dyDescent="0.25">
      <c r="B9" s="24"/>
      <c r="C9" s="7" t="s">
        <v>145</v>
      </c>
      <c r="D9" s="19"/>
      <c r="E9" s="9" t="s">
        <v>146</v>
      </c>
      <c r="F9" s="20"/>
      <c r="G9" s="8" t="s">
        <v>142</v>
      </c>
      <c r="H9" s="21"/>
      <c r="I9" s="10" t="s">
        <v>143</v>
      </c>
    </row>
    <row r="10" spans="2:11" x14ac:dyDescent="0.25">
      <c r="B10" s="24"/>
      <c r="C10" s="19"/>
      <c r="D10" s="19"/>
      <c r="E10" s="20"/>
      <c r="F10" s="20"/>
      <c r="G10" s="21"/>
      <c r="H10" s="21"/>
      <c r="I10" s="22"/>
    </row>
    <row r="11" spans="2:11" x14ac:dyDescent="0.25">
      <c r="B11" s="23" t="s">
        <v>147</v>
      </c>
      <c r="C11" s="19"/>
      <c r="D11" s="19"/>
      <c r="E11" s="20"/>
      <c r="F11" s="20"/>
      <c r="G11" s="21"/>
      <c r="H11" s="21"/>
      <c r="I11" s="22"/>
    </row>
    <row r="12" spans="2:11" ht="13.5" customHeight="1" x14ac:dyDescent="0.25">
      <c r="B12" s="23"/>
      <c r="C12" s="19"/>
      <c r="D12" s="19"/>
      <c r="E12" s="20"/>
      <c r="F12" s="20"/>
      <c r="G12" s="21"/>
      <c r="H12" s="21"/>
      <c r="I12" s="22"/>
    </row>
    <row r="13" spans="2:11" s="4" customFormat="1" ht="20.100000000000001" customHeight="1" x14ac:dyDescent="0.25">
      <c r="B13" s="25" t="s">
        <v>148</v>
      </c>
      <c r="C13" s="26">
        <v>4057764.09</v>
      </c>
      <c r="D13" s="26"/>
      <c r="E13" s="27">
        <v>2572087.27</v>
      </c>
      <c r="F13" s="27"/>
      <c r="G13" s="28">
        <v>1485676.8199999998</v>
      </c>
      <c r="H13" s="28"/>
      <c r="I13" s="29">
        <f>G13/E13</f>
        <v>0.57761524553558397</v>
      </c>
      <c r="K13" s="18"/>
    </row>
    <row r="14" spans="2:11" s="4" customFormat="1" ht="20.100000000000001" customHeight="1" x14ac:dyDescent="0.25">
      <c r="B14" s="25" t="s">
        <v>149</v>
      </c>
      <c r="C14" s="34">
        <v>2392900.69</v>
      </c>
      <c r="D14" s="26"/>
      <c r="E14" s="35">
        <v>2208203.21</v>
      </c>
      <c r="F14" s="27"/>
      <c r="G14" s="36">
        <v>184697.48</v>
      </c>
      <c r="H14" s="28"/>
      <c r="I14" s="29">
        <f>G14/E14</f>
        <v>8.3641523191155948E-2</v>
      </c>
    </row>
    <row r="15" spans="2:11" s="4" customFormat="1" ht="20.100000000000001" customHeight="1" x14ac:dyDescent="0.25">
      <c r="B15" s="25"/>
      <c r="C15" s="37">
        <f>SUM(C13:C14)</f>
        <v>6450664.7799999993</v>
      </c>
      <c r="D15" s="37"/>
      <c r="E15" s="37">
        <f>SUM(E13:E14)</f>
        <v>4780290.4800000004</v>
      </c>
      <c r="F15" s="38"/>
      <c r="G15" s="37">
        <f>SUM(G13:G14)</f>
        <v>1670374.2999999998</v>
      </c>
      <c r="H15" s="28"/>
      <c r="I15" s="41">
        <f>G15/E15</f>
        <v>0.34942945559241406</v>
      </c>
    </row>
    <row r="16" spans="2:11" s="30" customFormat="1" ht="20.100000000000001" customHeight="1" x14ac:dyDescent="0.25">
      <c r="B16" s="23" t="s">
        <v>150</v>
      </c>
      <c r="C16" s="31"/>
      <c r="D16" s="31"/>
      <c r="E16" s="32"/>
      <c r="F16" s="32"/>
      <c r="G16" s="33"/>
      <c r="H16" s="33"/>
      <c r="I16" s="33"/>
    </row>
    <row r="17" spans="2:9" s="4" customFormat="1" ht="20.100000000000001" customHeight="1" x14ac:dyDescent="0.25">
      <c r="B17" s="25"/>
      <c r="C17" s="26"/>
      <c r="D17" s="26"/>
      <c r="E17" s="27"/>
      <c r="F17" s="27"/>
      <c r="G17" s="28"/>
      <c r="H17" s="28"/>
      <c r="I17" s="29"/>
    </row>
    <row r="18" spans="2:9" s="4" customFormat="1" ht="20.100000000000001" customHeight="1" x14ac:dyDescent="0.25">
      <c r="B18" s="25" t="s">
        <v>151</v>
      </c>
      <c r="C18" s="26">
        <v>464694.1</v>
      </c>
      <c r="D18" s="26"/>
      <c r="E18" s="27">
        <v>377259.61</v>
      </c>
      <c r="F18" s="27"/>
      <c r="G18" s="28">
        <v>87434.489999999991</v>
      </c>
      <c r="H18" s="28"/>
      <c r="I18" s="29">
        <f>G18/E18</f>
        <v>0.23176212794155196</v>
      </c>
    </row>
    <row r="19" spans="2:9" s="4" customFormat="1" ht="20.100000000000001" customHeight="1" x14ac:dyDescent="0.25">
      <c r="B19" s="25" t="s">
        <v>152</v>
      </c>
      <c r="C19" s="26">
        <v>70361.16</v>
      </c>
      <c r="D19" s="26"/>
      <c r="E19" s="27">
        <v>59439.24</v>
      </c>
      <c r="F19" s="27"/>
      <c r="G19" s="28">
        <v>10921.920000000006</v>
      </c>
      <c r="H19" s="28"/>
      <c r="I19" s="29">
        <f>G19/E19</f>
        <v>0.18374932115551959</v>
      </c>
    </row>
    <row r="20" spans="2:9" s="4" customFormat="1" ht="20.100000000000001" customHeight="1" x14ac:dyDescent="0.25">
      <c r="B20" s="25" t="s">
        <v>153</v>
      </c>
      <c r="C20" s="26">
        <v>4820614.0999999996</v>
      </c>
      <c r="D20" s="26"/>
      <c r="E20" s="27">
        <v>3830466.7</v>
      </c>
      <c r="F20" s="27"/>
      <c r="G20" s="28">
        <v>990147.39999999944</v>
      </c>
      <c r="H20" s="28"/>
      <c r="I20" s="29">
        <f>G20/E20</f>
        <v>0.25849262702114062</v>
      </c>
    </row>
    <row r="21" spans="2:9" s="4" customFormat="1" ht="20.100000000000001" customHeight="1" x14ac:dyDescent="0.25">
      <c r="B21" s="25" t="s">
        <v>154</v>
      </c>
      <c r="C21" s="25">
        <v>19.309999999999999</v>
      </c>
      <c r="D21" s="25"/>
      <c r="E21" s="27">
        <v>0</v>
      </c>
      <c r="F21" s="27"/>
      <c r="G21" s="28">
        <v>19.309999999999999</v>
      </c>
      <c r="H21" s="28"/>
      <c r="I21" s="29">
        <v>1</v>
      </c>
    </row>
    <row r="22" spans="2:9" s="4" customFormat="1" ht="20.100000000000001" customHeight="1" x14ac:dyDescent="0.25">
      <c r="B22" s="25"/>
      <c r="C22" s="40">
        <f>SUM(C18:C21)</f>
        <v>5355688.669999999</v>
      </c>
      <c r="D22" s="37"/>
      <c r="E22" s="40">
        <f>SUM(E18:E21)</f>
        <v>4267165.55</v>
      </c>
      <c r="F22" s="38"/>
      <c r="G22" s="40">
        <f>SUM(G18:G21)</f>
        <v>1088523.1199999994</v>
      </c>
      <c r="H22" s="25"/>
      <c r="I22" s="41">
        <f>G22/E22</f>
        <v>0.25509277932748575</v>
      </c>
    </row>
    <row r="23" spans="2:9" ht="18.75" customHeight="1" x14ac:dyDescent="0.25">
      <c r="B23" s="24"/>
      <c r="C23" s="24"/>
      <c r="D23" s="24"/>
      <c r="E23" s="24"/>
      <c r="F23" s="24"/>
      <c r="G23" s="24"/>
      <c r="H23" s="24"/>
      <c r="I23" s="24"/>
    </row>
    <row r="24" spans="2:9" ht="15.75" thickBot="1" x14ac:dyDescent="0.3">
      <c r="B24" s="23" t="s">
        <v>155</v>
      </c>
      <c r="C24" s="39">
        <f>C15-C22</f>
        <v>1094976.1100000003</v>
      </c>
      <c r="D24" s="11"/>
      <c r="E24" s="39">
        <f>E15-E22</f>
        <v>513124.93000000063</v>
      </c>
      <c r="F24" s="11"/>
      <c r="G24" s="39">
        <f>G15-G22</f>
        <v>581851.1800000004</v>
      </c>
    </row>
    <row r="25" spans="2:9" ht="15.75" thickTop="1" x14ac:dyDescent="0.25"/>
    <row r="28" spans="2:9" ht="41.25" customHeight="1" x14ac:dyDescent="0.25">
      <c r="B28" s="42"/>
      <c r="E28" s="240"/>
      <c r="F28" s="240"/>
      <c r="G28" s="240"/>
    </row>
    <row r="29" spans="2:9" ht="24.75" customHeight="1" x14ac:dyDescent="0.25">
      <c r="B29" s="43" t="s">
        <v>156</v>
      </c>
      <c r="E29" s="239" t="s">
        <v>157</v>
      </c>
      <c r="F29" s="239"/>
      <c r="G29" s="239"/>
    </row>
  </sheetData>
  <mergeCells count="6">
    <mergeCell ref="E29:G29"/>
    <mergeCell ref="E28:G28"/>
    <mergeCell ref="B3:I3"/>
    <mergeCell ref="B4:I4"/>
    <mergeCell ref="B5:I5"/>
    <mergeCell ref="B6:I6"/>
  </mergeCells>
  <pageMargins left="0.7" right="0.7" top="0.75" bottom="0.75" header="0.3" footer="0.3"/>
  <pageSetup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topLeftCell="A4" zoomScale="85" zoomScaleNormal="85" workbookViewId="0">
      <selection activeCell="B27" activeCellId="1" sqref="A26:G27 B27"/>
    </sheetView>
  </sheetViews>
  <sheetFormatPr baseColWidth="10" defaultRowHeight="15" x14ac:dyDescent="0.25"/>
  <cols>
    <col min="2" max="2" width="30.140625" customWidth="1"/>
    <col min="3" max="3" width="17.42578125" customWidth="1"/>
    <col min="4" max="4" width="5" customWidth="1"/>
    <col min="5" max="5" width="17.140625" customWidth="1"/>
    <col min="6" max="6" width="6" customWidth="1"/>
    <col min="7" max="7" width="14.5703125" customWidth="1"/>
    <col min="8" max="8" width="4.28515625" customWidth="1"/>
    <col min="9" max="9" width="9.140625" customWidth="1"/>
  </cols>
  <sheetData>
    <row r="1" spans="2:9" x14ac:dyDescent="0.25">
      <c r="E1" s="4"/>
      <c r="F1" s="4"/>
    </row>
    <row r="2" spans="2:9" x14ac:dyDescent="0.25">
      <c r="E2" s="4"/>
      <c r="F2" s="4"/>
    </row>
    <row r="3" spans="2:9" ht="62.25" customHeight="1" x14ac:dyDescent="0.25">
      <c r="B3" s="236" t="s">
        <v>169</v>
      </c>
      <c r="C3" s="236"/>
      <c r="D3" s="236"/>
      <c r="E3" s="236"/>
      <c r="F3" s="236"/>
      <c r="G3" s="236"/>
      <c r="H3" s="236"/>
      <c r="I3" s="236"/>
    </row>
    <row r="4" spans="2:9" x14ac:dyDescent="0.25">
      <c r="B4" s="237" t="s">
        <v>65</v>
      </c>
      <c r="C4" s="237"/>
      <c r="D4" s="237"/>
      <c r="E4" s="237"/>
      <c r="F4" s="237"/>
      <c r="G4" s="237"/>
      <c r="H4" s="237"/>
      <c r="I4" s="237"/>
    </row>
    <row r="5" spans="2:9" x14ac:dyDescent="0.25">
      <c r="B5" s="237" t="s">
        <v>168</v>
      </c>
      <c r="C5" s="237"/>
      <c r="D5" s="237"/>
      <c r="E5" s="237"/>
      <c r="F5" s="237"/>
      <c r="G5" s="237"/>
      <c r="H5" s="237"/>
      <c r="I5" s="237"/>
    </row>
    <row r="6" spans="2:9" x14ac:dyDescent="0.25">
      <c r="B6" s="237" t="s">
        <v>64</v>
      </c>
      <c r="C6" s="237"/>
      <c r="D6" s="237"/>
      <c r="E6" s="237"/>
      <c r="F6" s="237"/>
      <c r="G6" s="237"/>
      <c r="H6" s="237"/>
      <c r="I6" s="237"/>
    </row>
    <row r="9" spans="2:9" x14ac:dyDescent="0.25">
      <c r="B9" s="24"/>
      <c r="C9" s="7" t="s">
        <v>167</v>
      </c>
      <c r="D9" s="19"/>
      <c r="E9" s="9" t="s">
        <v>145</v>
      </c>
      <c r="F9" s="20"/>
      <c r="G9" s="8" t="s">
        <v>142</v>
      </c>
      <c r="H9" s="21"/>
      <c r="I9" s="10" t="s">
        <v>143</v>
      </c>
    </row>
    <row r="10" spans="2:9" x14ac:dyDescent="0.25">
      <c r="B10" s="24"/>
      <c r="C10" s="19"/>
      <c r="D10" s="19"/>
      <c r="E10" s="20"/>
      <c r="F10" s="20"/>
      <c r="G10" s="21"/>
      <c r="H10" s="21"/>
      <c r="I10" s="22"/>
    </row>
    <row r="11" spans="2:9" x14ac:dyDescent="0.25">
      <c r="B11" s="23" t="s">
        <v>147</v>
      </c>
      <c r="C11" s="19"/>
      <c r="D11" s="19"/>
      <c r="E11" s="20"/>
      <c r="F11" s="20"/>
      <c r="G11" s="21"/>
      <c r="H11" s="21"/>
      <c r="I11" s="22"/>
    </row>
    <row r="12" spans="2:9" ht="13.5" customHeight="1" x14ac:dyDescent="0.25">
      <c r="B12" s="23"/>
      <c r="C12" s="19"/>
      <c r="D12" s="19"/>
      <c r="E12" s="20"/>
      <c r="F12" s="20"/>
      <c r="G12" s="21"/>
      <c r="H12" s="21"/>
      <c r="I12" s="22"/>
    </row>
    <row r="13" spans="2:9" s="4" customFormat="1" ht="20.100000000000001" customHeight="1" x14ac:dyDescent="0.25">
      <c r="B13" s="25" t="s">
        <v>148</v>
      </c>
      <c r="C13" s="52">
        <v>5546797.0599999996</v>
      </c>
      <c r="D13" s="52"/>
      <c r="E13" s="53">
        <v>4057764.09</v>
      </c>
      <c r="F13" s="53"/>
      <c r="G13" s="52">
        <f>+C13-E13</f>
        <v>1489032.9699999997</v>
      </c>
      <c r="H13" s="28"/>
      <c r="I13" s="29">
        <f>G13/E13</f>
        <v>0.36695897961874857</v>
      </c>
    </row>
    <row r="14" spans="2:9" s="4" customFormat="1" ht="20.100000000000001" customHeight="1" x14ac:dyDescent="0.25">
      <c r="B14" s="25" t="s">
        <v>149</v>
      </c>
      <c r="C14" s="54">
        <f>1264703.71+1324217.88</f>
        <v>2588921.59</v>
      </c>
      <c r="D14" s="52"/>
      <c r="E14" s="55">
        <v>2392900.69</v>
      </c>
      <c r="F14" s="53"/>
      <c r="G14" s="54">
        <f>+C14-E14</f>
        <v>196020.89999999991</v>
      </c>
      <c r="H14" s="28"/>
      <c r="I14" s="29">
        <f>G14/E14</f>
        <v>8.1917691285382982E-2</v>
      </c>
    </row>
    <row r="15" spans="2:9" s="4" customFormat="1" ht="20.100000000000001" customHeight="1" x14ac:dyDescent="0.25">
      <c r="B15" s="25"/>
      <c r="C15" s="56">
        <f>SUM(C13:C14)</f>
        <v>8135718.6499999994</v>
      </c>
      <c r="D15" s="56"/>
      <c r="E15" s="56">
        <v>6450664.7799999993</v>
      </c>
      <c r="F15" s="57"/>
      <c r="G15" s="56">
        <f>SUM(G13:G14)</f>
        <v>1685053.8699999996</v>
      </c>
      <c r="H15" s="28"/>
      <c r="I15" s="41">
        <f>G15/E15</f>
        <v>0.2612217387616288</v>
      </c>
    </row>
    <row r="16" spans="2:9" s="30" customFormat="1" ht="20.100000000000001" customHeight="1" x14ac:dyDescent="0.25">
      <c r="B16" s="23" t="s">
        <v>150</v>
      </c>
      <c r="C16" s="58"/>
      <c r="D16" s="58"/>
      <c r="E16" s="59"/>
      <c r="F16" s="59"/>
      <c r="G16" s="60"/>
      <c r="H16" s="33"/>
      <c r="I16" s="33"/>
    </row>
    <row r="17" spans="2:9" s="4" customFormat="1" ht="20.100000000000001" customHeight="1" x14ac:dyDescent="0.25">
      <c r="B17" s="25"/>
      <c r="C17" s="52"/>
      <c r="D17" s="52"/>
      <c r="E17" s="53"/>
      <c r="F17" s="53"/>
      <c r="G17" s="52"/>
      <c r="H17" s="28"/>
      <c r="I17" s="29"/>
    </row>
    <row r="18" spans="2:9" s="4" customFormat="1" ht="20.100000000000001" customHeight="1" x14ac:dyDescent="0.25">
      <c r="B18" s="25" t="s">
        <v>151</v>
      </c>
      <c r="C18" s="52">
        <v>554731.78</v>
      </c>
      <c r="D18" s="52"/>
      <c r="E18" s="53">
        <v>464694.1</v>
      </c>
      <c r="F18" s="53"/>
      <c r="G18" s="52">
        <f>+C18-E18</f>
        <v>90037.680000000051</v>
      </c>
      <c r="H18" s="28"/>
      <c r="I18" s="29">
        <f>G18/E18</f>
        <v>0.19375688221563403</v>
      </c>
    </row>
    <row r="19" spans="2:9" s="4" customFormat="1" ht="20.100000000000001" customHeight="1" x14ac:dyDescent="0.25">
      <c r="B19" s="25" t="s">
        <v>152</v>
      </c>
      <c r="C19" s="52">
        <v>89557.06</v>
      </c>
      <c r="D19" s="52"/>
      <c r="E19" s="53">
        <v>70361.16</v>
      </c>
      <c r="F19" s="53"/>
      <c r="G19" s="52">
        <f>+C19-E19</f>
        <v>19195.899999999994</v>
      </c>
      <c r="H19" s="28"/>
      <c r="I19" s="29">
        <f>G19/E19</f>
        <v>0.27281954987666479</v>
      </c>
    </row>
    <row r="20" spans="2:9" s="4" customFormat="1" ht="20.100000000000001" customHeight="1" x14ac:dyDescent="0.25">
      <c r="B20" s="25" t="s">
        <v>153</v>
      </c>
      <c r="C20" s="52">
        <v>6251206</v>
      </c>
      <c r="D20" s="52"/>
      <c r="E20" s="53">
        <v>4820614.0999999996</v>
      </c>
      <c r="F20" s="53"/>
      <c r="G20" s="52">
        <f>+C20-E20</f>
        <v>1430591.9000000004</v>
      </c>
      <c r="H20" s="28"/>
      <c r="I20" s="29">
        <f>G20/E20</f>
        <v>0.29676548886167853</v>
      </c>
    </row>
    <row r="21" spans="2:9" s="4" customFormat="1" ht="20.100000000000001" customHeight="1" x14ac:dyDescent="0.25">
      <c r="B21" s="25" t="s">
        <v>154</v>
      </c>
      <c r="C21" s="52">
        <v>2089.6799999999998</v>
      </c>
      <c r="D21" s="52"/>
      <c r="E21" s="53">
        <v>19.309999999999999</v>
      </c>
      <c r="F21" s="53"/>
      <c r="G21" s="52">
        <f>+C21-E21</f>
        <v>2070.37</v>
      </c>
      <c r="H21" s="28"/>
      <c r="I21" s="29">
        <v>1</v>
      </c>
    </row>
    <row r="22" spans="2:9" s="4" customFormat="1" ht="20.100000000000001" customHeight="1" x14ac:dyDescent="0.25">
      <c r="B22" s="25"/>
      <c r="C22" s="61">
        <f>SUM(C18:C21)</f>
        <v>6897584.5199999996</v>
      </c>
      <c r="D22" s="56"/>
      <c r="E22" s="61">
        <v>5355688.669999999</v>
      </c>
      <c r="F22" s="57"/>
      <c r="G22" s="61">
        <f>SUM(G18:G21)</f>
        <v>1541895.8500000006</v>
      </c>
      <c r="H22" s="25"/>
      <c r="I22" s="41">
        <f>G22/E22</f>
        <v>0.28789870827200281</v>
      </c>
    </row>
    <row r="23" spans="2:9" ht="18.75" customHeight="1" x14ac:dyDescent="0.25">
      <c r="B23" s="24"/>
      <c r="C23" s="62"/>
      <c r="D23" s="62"/>
      <c r="E23" s="62"/>
      <c r="F23" s="62"/>
      <c r="G23" s="62"/>
      <c r="H23" s="24"/>
      <c r="I23" s="24"/>
    </row>
    <row r="24" spans="2:9" ht="15.75" thickBot="1" x14ac:dyDescent="0.3">
      <c r="B24" s="23" t="s">
        <v>155</v>
      </c>
      <c r="C24" s="63">
        <f>C15-C22</f>
        <v>1238134.1299999999</v>
      </c>
      <c r="D24" s="64"/>
      <c r="E24" s="63">
        <v>1094976.1100000003</v>
      </c>
      <c r="F24" s="64"/>
      <c r="G24" s="63">
        <f>G15-G22</f>
        <v>143158.01999999909</v>
      </c>
    </row>
    <row r="25" spans="2:9" ht="15.75" thickTop="1" x14ac:dyDescent="0.25"/>
    <row r="28" spans="2:9" ht="41.25" customHeight="1" x14ac:dyDescent="0.25">
      <c r="B28" s="42"/>
      <c r="E28" s="240"/>
      <c r="F28" s="240"/>
      <c r="G28" s="240"/>
    </row>
    <row r="29" spans="2:9" ht="24.75" customHeight="1" x14ac:dyDescent="0.25">
      <c r="B29" s="44" t="s">
        <v>156</v>
      </c>
      <c r="E29" s="239" t="s">
        <v>157</v>
      </c>
      <c r="F29" s="239"/>
      <c r="G29" s="239"/>
    </row>
  </sheetData>
  <mergeCells count="6">
    <mergeCell ref="E29:G29"/>
    <mergeCell ref="B3:I3"/>
    <mergeCell ref="B4:I4"/>
    <mergeCell ref="B5:I5"/>
    <mergeCell ref="B6:I6"/>
    <mergeCell ref="E28:G28"/>
  </mergeCells>
  <pageMargins left="0.7" right="0.7" top="0.75" bottom="0.75" header="0.3" footer="0.3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showGridLines="0" topLeftCell="A7" zoomScale="85" zoomScaleNormal="85" workbookViewId="0">
      <selection activeCell="C13" sqref="C13"/>
    </sheetView>
  </sheetViews>
  <sheetFormatPr baseColWidth="10" defaultRowHeight="15" x14ac:dyDescent="0.25"/>
  <cols>
    <col min="2" max="2" width="30.140625" customWidth="1"/>
    <col min="3" max="3" width="17.42578125" customWidth="1"/>
    <col min="4" max="4" width="5" customWidth="1"/>
    <col min="5" max="5" width="17.140625" customWidth="1"/>
    <col min="6" max="6" width="6" customWidth="1"/>
    <col min="7" max="7" width="14.5703125" customWidth="1"/>
    <col min="8" max="8" width="4.28515625" customWidth="1"/>
    <col min="9" max="9" width="9.140625" customWidth="1"/>
  </cols>
  <sheetData>
    <row r="1" spans="2:11" x14ac:dyDescent="0.25">
      <c r="E1" s="4"/>
      <c r="F1" s="4"/>
    </row>
    <row r="2" spans="2:11" x14ac:dyDescent="0.25">
      <c r="E2" s="4"/>
      <c r="F2" s="4"/>
    </row>
    <row r="3" spans="2:11" ht="62.25" customHeight="1" x14ac:dyDescent="0.25">
      <c r="B3" s="236" t="s">
        <v>169</v>
      </c>
      <c r="C3" s="236"/>
      <c r="D3" s="236"/>
      <c r="E3" s="236"/>
      <c r="F3" s="236"/>
      <c r="G3" s="236"/>
      <c r="H3" s="236"/>
      <c r="I3" s="236"/>
    </row>
    <row r="4" spans="2:11" x14ac:dyDescent="0.25">
      <c r="B4" s="237" t="s">
        <v>65</v>
      </c>
      <c r="C4" s="237"/>
      <c r="D4" s="237"/>
      <c r="E4" s="237"/>
      <c r="F4" s="237"/>
      <c r="G4" s="237"/>
      <c r="H4" s="237"/>
      <c r="I4" s="237"/>
    </row>
    <row r="5" spans="2:11" x14ac:dyDescent="0.25">
      <c r="B5" s="237" t="s">
        <v>170</v>
      </c>
      <c r="C5" s="237"/>
      <c r="D5" s="237"/>
      <c r="E5" s="237"/>
      <c r="F5" s="237"/>
      <c r="G5" s="237"/>
      <c r="H5" s="237"/>
      <c r="I5" s="237"/>
    </row>
    <row r="6" spans="2:11" x14ac:dyDescent="0.25">
      <c r="B6" s="237" t="s">
        <v>64</v>
      </c>
      <c r="C6" s="237"/>
      <c r="D6" s="237"/>
      <c r="E6" s="237"/>
      <c r="F6" s="237"/>
      <c r="G6" s="237"/>
      <c r="H6" s="237"/>
      <c r="I6" s="237"/>
    </row>
    <row r="9" spans="2:11" x14ac:dyDescent="0.25">
      <c r="B9" s="24"/>
      <c r="C9" s="7" t="s">
        <v>171</v>
      </c>
      <c r="D9" s="19"/>
      <c r="E9" s="9" t="s">
        <v>167</v>
      </c>
      <c r="F9" s="20"/>
      <c r="G9" s="8" t="s">
        <v>142</v>
      </c>
      <c r="H9" s="21"/>
      <c r="I9" s="10" t="s">
        <v>143</v>
      </c>
    </row>
    <row r="10" spans="2:11" x14ac:dyDescent="0.25">
      <c r="B10" s="24"/>
      <c r="C10" s="19"/>
      <c r="D10" s="19"/>
      <c r="E10" s="20"/>
      <c r="F10" s="20"/>
      <c r="G10" s="21"/>
      <c r="H10" s="21"/>
      <c r="I10" s="22"/>
    </row>
    <row r="11" spans="2:11" x14ac:dyDescent="0.25">
      <c r="B11" s="23"/>
      <c r="C11" s="19"/>
      <c r="D11" s="19"/>
      <c r="E11" s="20"/>
      <c r="F11" s="20"/>
      <c r="G11" s="21"/>
      <c r="H11" s="21"/>
      <c r="I11" s="22"/>
    </row>
    <row r="12" spans="2:11" ht="13.5" customHeight="1" x14ac:dyDescent="0.25">
      <c r="B12" s="23"/>
      <c r="C12" s="19"/>
      <c r="D12" s="19"/>
      <c r="E12" s="20"/>
      <c r="F12" s="20"/>
      <c r="G12" s="21"/>
      <c r="H12" s="21"/>
      <c r="I12" s="22"/>
    </row>
    <row r="13" spans="2:11" s="4" customFormat="1" ht="20.100000000000001" customHeight="1" x14ac:dyDescent="0.25">
      <c r="B13" s="25" t="s">
        <v>172</v>
      </c>
      <c r="C13" s="52">
        <v>7043541</v>
      </c>
      <c r="D13" s="52"/>
      <c r="E13" s="53">
        <f>+[1]Estados!$AF$90</f>
        <v>5544668.6299999999</v>
      </c>
      <c r="F13" s="53"/>
      <c r="G13" s="52">
        <f>+C13-E13</f>
        <v>1498872.37</v>
      </c>
      <c r="H13" s="28"/>
      <c r="I13" s="29">
        <f>G13/E13</f>
        <v>0.27032677153873491</v>
      </c>
    </row>
    <row r="14" spans="2:11" s="4" customFormat="1" ht="20.100000000000001" customHeight="1" x14ac:dyDescent="0.25">
      <c r="B14" s="25" t="s">
        <v>173</v>
      </c>
      <c r="C14" s="54">
        <v>8144820</v>
      </c>
      <c r="D14" s="52"/>
      <c r="E14" s="55">
        <f>+[1]Estados!$AF$118+[1]Estados!$AF$101</f>
        <v>6805937.7800000003</v>
      </c>
      <c r="F14" s="53"/>
      <c r="G14" s="54">
        <f>+C14-E14</f>
        <v>1338882.2199999997</v>
      </c>
      <c r="H14" s="28"/>
      <c r="I14" s="29">
        <f>G14/E14</f>
        <v>0.19672266530770424</v>
      </c>
    </row>
    <row r="15" spans="2:11" s="4" customFormat="1" ht="20.100000000000001" customHeight="1" x14ac:dyDescent="0.25">
      <c r="B15" s="25" t="s">
        <v>175</v>
      </c>
      <c r="C15" s="74">
        <f>+C13-C14</f>
        <v>-1101279</v>
      </c>
      <c r="D15" s="38"/>
      <c r="E15" s="74">
        <f>+E13-E14</f>
        <v>-1261269.1500000004</v>
      </c>
      <c r="F15" s="38"/>
      <c r="G15" s="75">
        <f>+G13-G14</f>
        <v>159990.15000000037</v>
      </c>
      <c r="H15" s="28"/>
      <c r="I15" s="41">
        <f>-+G15/E15</f>
        <v>0.12684853982197244</v>
      </c>
      <c r="K15" s="73"/>
    </row>
    <row r="16" spans="2:11" s="4" customFormat="1" ht="20.100000000000001" customHeight="1" x14ac:dyDescent="0.25">
      <c r="B16" s="25"/>
      <c r="C16" s="66"/>
      <c r="D16" s="52"/>
      <c r="E16" s="53"/>
      <c r="F16" s="53"/>
      <c r="G16" s="52"/>
      <c r="H16" s="28"/>
      <c r="I16" s="29"/>
    </row>
    <row r="17" spans="2:11" s="4" customFormat="1" ht="20.100000000000001" customHeight="1" x14ac:dyDescent="0.25">
      <c r="B17" s="25"/>
      <c r="C17" s="66"/>
      <c r="D17" s="52"/>
      <c r="E17" s="53"/>
      <c r="F17" s="53"/>
      <c r="G17" s="52"/>
      <c r="H17" s="28"/>
      <c r="I17" s="29"/>
    </row>
    <row r="18" spans="2:11" s="4" customFormat="1" ht="20.100000000000001" customHeight="1" x14ac:dyDescent="0.25">
      <c r="B18" s="25" t="s">
        <v>174</v>
      </c>
      <c r="C18" s="52">
        <f>+[1]Estados!$AG$76+29.75</f>
        <v>2785935.8200000003</v>
      </c>
      <c r="D18" s="66"/>
      <c r="E18" s="66">
        <f>+[1]Estados!$AF$76+38.75</f>
        <v>2588960.34</v>
      </c>
      <c r="F18" s="66"/>
      <c r="G18" s="66">
        <f>+C18-E18</f>
        <v>196975.48000000045</v>
      </c>
      <c r="H18" s="28"/>
      <c r="I18" s="29">
        <f>G18/E18</f>
        <v>7.6082849534883354E-2</v>
      </c>
    </row>
    <row r="19" spans="2:11" s="4" customFormat="1" ht="20.100000000000001" customHeight="1" x14ac:dyDescent="0.25">
      <c r="B19" s="25" t="s">
        <v>176</v>
      </c>
      <c r="C19" s="52">
        <v>100515.66</v>
      </c>
      <c r="D19" s="66"/>
      <c r="E19" s="66">
        <f>+[1]Estados!$AF$85</f>
        <v>89557.06</v>
      </c>
      <c r="F19" s="66"/>
      <c r="G19" s="66">
        <f>+C19-E19</f>
        <v>10958.600000000006</v>
      </c>
      <c r="H19" s="28"/>
      <c r="I19" s="29">
        <f>G19/E19</f>
        <v>0.12236444563946165</v>
      </c>
    </row>
    <row r="20" spans="2:11" s="4" customFormat="1" ht="20.100000000000001" customHeight="1" x14ac:dyDescent="0.25">
      <c r="B20" s="25" t="s">
        <v>177</v>
      </c>
      <c r="C20" s="61">
        <f>+C18-C19</f>
        <v>2685420.16</v>
      </c>
      <c r="D20" s="56"/>
      <c r="E20" s="61">
        <f>+E18-E19</f>
        <v>2499403.2799999998</v>
      </c>
      <c r="F20" s="57"/>
      <c r="G20" s="61">
        <f>+G18-G19</f>
        <v>186016.88000000044</v>
      </c>
      <c r="H20" s="25"/>
      <c r="I20" s="41">
        <f>G20/E20</f>
        <v>7.4424516238932217E-2</v>
      </c>
      <c r="K20" s="76"/>
    </row>
    <row r="21" spans="2:11" ht="18.75" customHeight="1" x14ac:dyDescent="0.25">
      <c r="B21" s="24"/>
      <c r="C21" s="62"/>
      <c r="D21" s="62"/>
      <c r="E21" s="62"/>
      <c r="F21" s="62"/>
      <c r="G21" s="62"/>
      <c r="H21" s="24"/>
      <c r="I21" s="24"/>
    </row>
    <row r="22" spans="2:11" ht="15.75" thickBot="1" x14ac:dyDescent="0.3">
      <c r="B22" s="23" t="s">
        <v>155</v>
      </c>
      <c r="C22" s="63">
        <f>+C20+C15</f>
        <v>1584141.1600000001</v>
      </c>
      <c r="D22" s="64"/>
      <c r="E22" s="63">
        <f>+E20+E15</f>
        <v>1238134.1299999994</v>
      </c>
      <c r="F22" s="64"/>
      <c r="G22" s="63">
        <f>+G20+G15</f>
        <v>346007.03000000084</v>
      </c>
      <c r="I22" s="41">
        <f>+G22/E22</f>
        <v>0.2794584379965368</v>
      </c>
    </row>
    <row r="23" spans="2:11" ht="15.75" thickTop="1" x14ac:dyDescent="0.25"/>
    <row r="24" spans="2:11" x14ac:dyDescent="0.25">
      <c r="C24" s="69"/>
      <c r="E24" s="69"/>
      <c r="G24" s="69"/>
    </row>
    <row r="25" spans="2:11" x14ac:dyDescent="0.25">
      <c r="C25" s="69"/>
    </row>
    <row r="26" spans="2:11" ht="41.25" customHeight="1" x14ac:dyDescent="0.25">
      <c r="B26" s="42"/>
      <c r="E26" s="240"/>
      <c r="F26" s="240"/>
      <c r="G26" s="240"/>
    </row>
    <row r="27" spans="2:11" ht="24.75" customHeight="1" x14ac:dyDescent="0.25">
      <c r="B27" s="51" t="s">
        <v>156</v>
      </c>
      <c r="E27" s="239" t="s">
        <v>157</v>
      </c>
      <c r="F27" s="239"/>
      <c r="G27" s="239"/>
    </row>
  </sheetData>
  <mergeCells count="6">
    <mergeCell ref="E27:G27"/>
    <mergeCell ref="B3:I3"/>
    <mergeCell ref="B4:I4"/>
    <mergeCell ref="B5:I5"/>
    <mergeCell ref="B6:I6"/>
    <mergeCell ref="E26:G26"/>
  </mergeCell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zoomScale="85" zoomScaleNormal="85" workbookViewId="0">
      <selection activeCell="B27" activeCellId="1" sqref="A26:G27 B27"/>
    </sheetView>
  </sheetViews>
  <sheetFormatPr baseColWidth="10" defaultRowHeight="15" x14ac:dyDescent="0.25"/>
  <cols>
    <col min="2" max="2" width="30.140625" customWidth="1"/>
    <col min="3" max="3" width="17.42578125" customWidth="1"/>
    <col min="4" max="4" width="5" customWidth="1"/>
    <col min="5" max="5" width="17.140625" customWidth="1"/>
    <col min="6" max="6" width="6" customWidth="1"/>
    <col min="7" max="7" width="14.5703125" customWidth="1"/>
    <col min="8" max="8" width="4.28515625" customWidth="1"/>
    <col min="9" max="9" width="9.140625" customWidth="1"/>
  </cols>
  <sheetData>
    <row r="1" spans="2:9" x14ac:dyDescent="0.25">
      <c r="E1" s="4"/>
      <c r="F1" s="4"/>
    </row>
    <row r="2" spans="2:9" x14ac:dyDescent="0.25">
      <c r="E2" s="4"/>
      <c r="F2" s="4"/>
    </row>
    <row r="3" spans="2:9" ht="62.25" customHeight="1" x14ac:dyDescent="0.25">
      <c r="B3" s="236" t="s">
        <v>169</v>
      </c>
      <c r="C3" s="236"/>
      <c r="D3" s="236"/>
      <c r="E3" s="236"/>
      <c r="F3" s="236"/>
      <c r="G3" s="236"/>
      <c r="H3" s="236"/>
      <c r="I3" s="236"/>
    </row>
    <row r="4" spans="2:9" x14ac:dyDescent="0.25">
      <c r="B4" s="237" t="s">
        <v>65</v>
      </c>
      <c r="C4" s="237"/>
      <c r="D4" s="237"/>
      <c r="E4" s="237"/>
      <c r="F4" s="237"/>
      <c r="G4" s="237"/>
      <c r="H4" s="237"/>
      <c r="I4" s="237"/>
    </row>
    <row r="5" spans="2:9" x14ac:dyDescent="0.25">
      <c r="B5" s="237" t="s">
        <v>170</v>
      </c>
      <c r="C5" s="237"/>
      <c r="D5" s="237"/>
      <c r="E5" s="237"/>
      <c r="F5" s="237"/>
      <c r="G5" s="237"/>
      <c r="H5" s="237"/>
      <c r="I5" s="237"/>
    </row>
    <row r="6" spans="2:9" x14ac:dyDescent="0.25">
      <c r="B6" s="237" t="s">
        <v>64</v>
      </c>
      <c r="C6" s="237"/>
      <c r="D6" s="237"/>
      <c r="E6" s="237"/>
      <c r="F6" s="237"/>
      <c r="G6" s="237"/>
      <c r="H6" s="237"/>
      <c r="I6" s="237"/>
    </row>
    <row r="9" spans="2:9" x14ac:dyDescent="0.25">
      <c r="B9" s="24"/>
      <c r="C9" s="7" t="s">
        <v>171</v>
      </c>
      <c r="D9" s="19"/>
      <c r="E9" s="9" t="s">
        <v>167</v>
      </c>
      <c r="F9" s="20"/>
      <c r="G9" s="8" t="s">
        <v>142</v>
      </c>
      <c r="H9" s="21"/>
      <c r="I9" s="10" t="s">
        <v>143</v>
      </c>
    </row>
    <row r="10" spans="2:9" x14ac:dyDescent="0.25">
      <c r="B10" s="24"/>
      <c r="C10" s="19"/>
      <c r="D10" s="19"/>
      <c r="E10" s="20"/>
      <c r="F10" s="20"/>
      <c r="G10" s="21"/>
      <c r="H10" s="21"/>
      <c r="I10" s="22"/>
    </row>
    <row r="11" spans="2:9" x14ac:dyDescent="0.25">
      <c r="B11" s="23"/>
      <c r="C11" s="19"/>
      <c r="D11" s="19"/>
      <c r="E11" s="20"/>
      <c r="F11" s="20"/>
      <c r="G11" s="21"/>
      <c r="H11" s="21"/>
      <c r="I11" s="22"/>
    </row>
    <row r="12" spans="2:9" ht="13.5" customHeight="1" x14ac:dyDescent="0.25">
      <c r="B12" s="23"/>
      <c r="C12" s="19"/>
      <c r="D12" s="19"/>
      <c r="E12" s="20"/>
      <c r="F12" s="20"/>
      <c r="G12" s="21"/>
      <c r="H12" s="21"/>
      <c r="I12" s="22"/>
    </row>
    <row r="13" spans="2:9" s="4" customFormat="1" ht="20.100000000000001" customHeight="1" x14ac:dyDescent="0.25">
      <c r="B13" s="25" t="s">
        <v>172</v>
      </c>
      <c r="C13" s="66">
        <v>7045669.1900000004</v>
      </c>
      <c r="D13" s="52"/>
      <c r="E13" s="53">
        <v>5546797.0599999996</v>
      </c>
      <c r="F13" s="53"/>
      <c r="G13" s="52">
        <f>+C13-E13</f>
        <v>1498872.1300000008</v>
      </c>
      <c r="H13" s="28"/>
      <c r="I13" s="29">
        <f>G13/E13</f>
        <v>0.27022299784661691</v>
      </c>
    </row>
    <row r="14" spans="2:9" s="4" customFormat="1" ht="20.100000000000001" customHeight="1" x14ac:dyDescent="0.25">
      <c r="B14" s="25" t="s">
        <v>173</v>
      </c>
      <c r="C14" s="66">
        <v>8144820</v>
      </c>
      <c r="D14" s="52"/>
      <c r="E14" s="53">
        <v>6251206</v>
      </c>
      <c r="F14" s="53"/>
      <c r="G14" s="52"/>
      <c r="H14" s="28"/>
      <c r="I14" s="29"/>
    </row>
    <row r="15" spans="2:9" s="4" customFormat="1" ht="20.100000000000001" customHeight="1" x14ac:dyDescent="0.25">
      <c r="B15" s="25"/>
      <c r="C15" s="67">
        <f ca="1">SUM(C13:C17)</f>
        <v>17976395.260000002</v>
      </c>
      <c r="D15" s="56"/>
      <c r="E15" s="56">
        <v>8135718.6499999994</v>
      </c>
      <c r="F15" s="57"/>
      <c r="G15" s="56">
        <f ca="1">SUM(G13:G17)</f>
        <v>1695856.6100000008</v>
      </c>
      <c r="H15" s="28"/>
      <c r="I15" s="41">
        <f ca="1">G15/E15</f>
        <v>0.20844582795399408</v>
      </c>
    </row>
    <row r="16" spans="2:9" s="30" customFormat="1" ht="20.100000000000001" customHeight="1" x14ac:dyDescent="0.25">
      <c r="B16" s="23"/>
      <c r="C16" s="68"/>
      <c r="D16" s="58"/>
      <c r="E16" s="59"/>
      <c r="F16" s="59"/>
      <c r="G16" s="60"/>
      <c r="H16" s="33"/>
      <c r="I16" s="33"/>
    </row>
    <row r="17" spans="2:9" s="4" customFormat="1" ht="20.100000000000001" customHeight="1" x14ac:dyDescent="0.25">
      <c r="B17" s="25" t="s">
        <v>174</v>
      </c>
      <c r="C17" s="70">
        <f>1461688.19+1324217.88</f>
        <v>2785906.07</v>
      </c>
      <c r="D17" s="71"/>
      <c r="E17" s="72">
        <v>2588921.59</v>
      </c>
      <c r="F17" s="72"/>
      <c r="G17" s="71">
        <f>+C17-E17</f>
        <v>196984.47999999998</v>
      </c>
      <c r="H17" s="28"/>
      <c r="I17" s="29">
        <f>G17/E17</f>
        <v>7.6087464665161988E-2</v>
      </c>
    </row>
    <row r="18" spans="2:9" s="4" customFormat="1" ht="20.100000000000001" customHeight="1" x14ac:dyDescent="0.25">
      <c r="B18" s="25" t="s">
        <v>151</v>
      </c>
      <c r="C18" s="70">
        <v>644769.46</v>
      </c>
      <c r="D18" s="71"/>
      <c r="E18" s="72">
        <v>554731.78</v>
      </c>
      <c r="F18" s="72"/>
      <c r="G18" s="71">
        <f>+C18-E18</f>
        <v>90037.679999999935</v>
      </c>
      <c r="H18" s="28"/>
      <c r="I18" s="29">
        <f>G18/E18</f>
        <v>0.16230849438624181</v>
      </c>
    </row>
    <row r="19" spans="2:9" s="4" customFormat="1" ht="20.100000000000001" customHeight="1" x14ac:dyDescent="0.25">
      <c r="B19" s="25" t="s">
        <v>152</v>
      </c>
      <c r="C19" s="66">
        <f>100515.66+C21</f>
        <v>100515.66</v>
      </c>
      <c r="D19" s="52"/>
      <c r="E19" s="53">
        <v>89557.06</v>
      </c>
      <c r="F19" s="53"/>
      <c r="G19" s="52">
        <f>+C19-E19</f>
        <v>10958.600000000006</v>
      </c>
      <c r="H19" s="28"/>
      <c r="I19" s="29">
        <f>G19/E19</f>
        <v>0.12236444563946165</v>
      </c>
    </row>
    <row r="20" spans="2:9" s="4" customFormat="1" ht="20.100000000000001" customHeight="1" x14ac:dyDescent="0.25">
      <c r="B20" s="25" t="s">
        <v>153</v>
      </c>
      <c r="C20" s="66">
        <v>7500050.3700000001</v>
      </c>
      <c r="D20" s="52"/>
      <c r="F20" s="53"/>
      <c r="G20" s="52">
        <f>+C20-E14</f>
        <v>1248844.3700000001</v>
      </c>
      <c r="H20" s="28"/>
      <c r="I20" s="29">
        <f>G20/E14</f>
        <v>0.19977655031685088</v>
      </c>
    </row>
    <row r="21" spans="2:9" s="4" customFormat="1" ht="20.100000000000001" customHeight="1" x14ac:dyDescent="0.25">
      <c r="B21" s="25" t="s">
        <v>154</v>
      </c>
      <c r="C21" s="66"/>
      <c r="D21" s="52"/>
      <c r="E21" s="53">
        <v>2089.6799999999998</v>
      </c>
      <c r="F21" s="53"/>
      <c r="G21" s="52">
        <f>+C21-E21</f>
        <v>-2089.6799999999998</v>
      </c>
      <c r="H21" s="28"/>
      <c r="I21" s="29">
        <v>1</v>
      </c>
    </row>
    <row r="22" spans="2:9" s="4" customFormat="1" ht="20.100000000000001" customHeight="1" x14ac:dyDescent="0.25">
      <c r="B22" s="25"/>
      <c r="C22" s="61">
        <f>SUM(C18:C21)</f>
        <v>8245335.4900000002</v>
      </c>
      <c r="D22" s="56"/>
      <c r="E22" s="61">
        <v>6897584.5199999996</v>
      </c>
      <c r="F22" s="57"/>
      <c r="G22" s="61">
        <f>SUM(G18:G21)</f>
        <v>1347750.9700000002</v>
      </c>
      <c r="H22" s="25"/>
      <c r="I22" s="41">
        <f>G22/E22</f>
        <v>0.19539462924913897</v>
      </c>
    </row>
    <row r="23" spans="2:9" ht="18.75" customHeight="1" x14ac:dyDescent="0.25">
      <c r="B23" s="24"/>
      <c r="C23" s="62"/>
      <c r="D23" s="62"/>
      <c r="E23" s="62"/>
      <c r="F23" s="62"/>
      <c r="G23" s="62"/>
      <c r="H23" s="24"/>
      <c r="I23" s="24"/>
    </row>
    <row r="24" spans="2:9" ht="15.75" thickBot="1" x14ac:dyDescent="0.3">
      <c r="B24" s="23" t="s">
        <v>155</v>
      </c>
      <c r="C24" s="63">
        <f ca="1">C15-C22</f>
        <v>9731059.7700000014</v>
      </c>
      <c r="D24" s="64"/>
      <c r="E24" s="63">
        <v>1238134.1299999999</v>
      </c>
      <c r="F24" s="64"/>
      <c r="G24" s="63">
        <f ca="1">G15-G22</f>
        <v>348105.6400000006</v>
      </c>
    </row>
    <row r="25" spans="2:9" ht="15.75" thickTop="1" x14ac:dyDescent="0.25"/>
    <row r="26" spans="2:9" x14ac:dyDescent="0.25">
      <c r="C26" s="69"/>
    </row>
    <row r="27" spans="2:9" x14ac:dyDescent="0.25">
      <c r="C27" s="69"/>
    </row>
    <row r="28" spans="2:9" ht="41.25" customHeight="1" x14ac:dyDescent="0.25">
      <c r="B28" s="42"/>
      <c r="E28" s="240"/>
      <c r="F28" s="240"/>
      <c r="G28" s="240"/>
    </row>
    <row r="29" spans="2:9" ht="24.75" customHeight="1" x14ac:dyDescent="0.25">
      <c r="B29" s="65" t="s">
        <v>156</v>
      </c>
      <c r="E29" s="239" t="s">
        <v>157</v>
      </c>
      <c r="F29" s="239"/>
      <c r="G29" s="239"/>
    </row>
  </sheetData>
  <mergeCells count="6">
    <mergeCell ref="E29:G29"/>
    <mergeCell ref="B3:I3"/>
    <mergeCell ref="B4:I4"/>
    <mergeCell ref="B5:I5"/>
    <mergeCell ref="B6:I6"/>
    <mergeCell ref="E28:G28"/>
  </mergeCells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zoomScale="85" zoomScaleNormal="85" workbookViewId="0">
      <selection activeCell="B27" activeCellId="1" sqref="A26:G27 B27"/>
    </sheetView>
  </sheetViews>
  <sheetFormatPr baseColWidth="10" defaultRowHeight="15" x14ac:dyDescent="0.25"/>
  <cols>
    <col min="2" max="2" width="30.140625" customWidth="1"/>
    <col min="3" max="3" width="17.42578125" customWidth="1"/>
    <col min="4" max="4" width="5" customWidth="1"/>
    <col min="5" max="5" width="17.140625" customWidth="1"/>
    <col min="6" max="6" width="6" customWidth="1"/>
    <col min="7" max="7" width="14.5703125" customWidth="1"/>
    <col min="8" max="8" width="4.28515625" customWidth="1"/>
    <col min="9" max="9" width="11" customWidth="1"/>
    <col min="10" max="10" width="23.42578125" customWidth="1"/>
    <col min="11" max="11" width="19.5703125" style="12" customWidth="1"/>
    <col min="12" max="12" width="13.140625" bestFit="1" customWidth="1"/>
    <col min="14" max="14" width="14.140625" bestFit="1" customWidth="1"/>
    <col min="15" max="15" width="13.85546875" bestFit="1" customWidth="1"/>
    <col min="16" max="16" width="13.140625" bestFit="1" customWidth="1"/>
  </cols>
  <sheetData>
    <row r="1" spans="2:16" x14ac:dyDescent="0.25">
      <c r="E1" s="4"/>
      <c r="F1" s="4"/>
    </row>
    <row r="2" spans="2:16" x14ac:dyDescent="0.25">
      <c r="E2" s="4"/>
      <c r="F2" s="4"/>
    </row>
    <row r="3" spans="2:16" ht="62.25" customHeight="1" x14ac:dyDescent="0.25">
      <c r="B3" s="236" t="s">
        <v>169</v>
      </c>
      <c r="C3" s="236"/>
      <c r="D3" s="236"/>
      <c r="E3" s="236"/>
      <c r="F3" s="236"/>
      <c r="G3" s="236"/>
      <c r="H3" s="236"/>
      <c r="I3" s="236"/>
      <c r="J3" s="77"/>
      <c r="K3" s="84"/>
    </row>
    <row r="4" spans="2:16" x14ac:dyDescent="0.25">
      <c r="B4" s="237" t="s">
        <v>65</v>
      </c>
      <c r="C4" s="237"/>
      <c r="D4" s="237"/>
      <c r="E4" s="237"/>
      <c r="F4" s="237"/>
      <c r="G4" s="237"/>
      <c r="H4" s="237"/>
      <c r="I4" s="237"/>
      <c r="J4" s="78"/>
      <c r="K4" s="85"/>
    </row>
    <row r="5" spans="2:16" x14ac:dyDescent="0.25">
      <c r="B5" s="237" t="s">
        <v>179</v>
      </c>
      <c r="C5" s="237"/>
      <c r="D5" s="237"/>
      <c r="E5" s="237"/>
      <c r="F5" s="237"/>
      <c r="G5" s="237"/>
      <c r="H5" s="237"/>
      <c r="I5" s="237"/>
      <c r="J5" s="78"/>
      <c r="K5" s="85"/>
    </row>
    <row r="6" spans="2:16" x14ac:dyDescent="0.25">
      <c r="B6" s="237" t="s">
        <v>64</v>
      </c>
      <c r="C6" s="237"/>
      <c r="D6" s="237"/>
      <c r="E6" s="237"/>
      <c r="F6" s="237"/>
      <c r="G6" s="237"/>
      <c r="H6" s="237"/>
      <c r="I6" s="237"/>
      <c r="J6" s="78"/>
      <c r="K6" s="85"/>
    </row>
    <row r="9" spans="2:16" ht="29.25" x14ac:dyDescent="0.25">
      <c r="B9" s="24"/>
      <c r="C9" s="7" t="s">
        <v>178</v>
      </c>
      <c r="D9" s="19"/>
      <c r="E9" s="7" t="s">
        <v>171</v>
      </c>
      <c r="F9" s="20"/>
      <c r="G9" s="8" t="s">
        <v>142</v>
      </c>
      <c r="H9" s="21"/>
      <c r="I9" s="10" t="s">
        <v>143</v>
      </c>
      <c r="J9" s="22"/>
      <c r="K9" s="86">
        <v>8514210</v>
      </c>
    </row>
    <row r="10" spans="2:16" x14ac:dyDescent="0.25">
      <c r="B10" s="24"/>
      <c r="C10" s="19"/>
      <c r="D10" s="19"/>
      <c r="E10" s="19"/>
      <c r="F10" s="20"/>
      <c r="G10" s="21"/>
      <c r="H10" s="21"/>
      <c r="I10" s="22"/>
      <c r="J10" s="22"/>
      <c r="K10" s="86"/>
      <c r="N10" s="12">
        <v>11491899.369999999</v>
      </c>
    </row>
    <row r="11" spans="2:16" x14ac:dyDescent="0.25">
      <c r="B11" s="23"/>
      <c r="C11" s="80"/>
      <c r="D11" s="19"/>
      <c r="E11" s="19"/>
      <c r="F11" s="20"/>
      <c r="G11" s="81"/>
      <c r="H11" s="21"/>
      <c r="I11" s="82"/>
      <c r="J11" s="82"/>
      <c r="K11" s="86"/>
      <c r="N11" s="12">
        <v>9688148.0700000003</v>
      </c>
    </row>
    <row r="12" spans="2:16" ht="13.5" customHeight="1" x14ac:dyDescent="0.25">
      <c r="B12" s="23"/>
      <c r="C12" s="94"/>
      <c r="D12" s="19"/>
      <c r="E12" s="19"/>
      <c r="F12" s="20"/>
      <c r="G12" s="21"/>
      <c r="H12" s="21"/>
      <c r="I12" s="22"/>
      <c r="J12" s="22"/>
      <c r="K12" s="86"/>
      <c r="N12" s="12">
        <f>+N10-N11</f>
        <v>1803751.2999999989</v>
      </c>
    </row>
    <row r="13" spans="2:16" s="4" customFormat="1" ht="20.100000000000001" customHeight="1" x14ac:dyDescent="0.25">
      <c r="B13" s="25" t="s">
        <v>172</v>
      </c>
      <c r="C13" s="52">
        <v>8514210</v>
      </c>
      <c r="D13" s="52"/>
      <c r="E13" s="52">
        <v>7043541</v>
      </c>
      <c r="F13" s="53"/>
      <c r="G13" s="52">
        <f>+C13-E13</f>
        <v>1470669</v>
      </c>
      <c r="H13" s="28"/>
      <c r="I13" s="29">
        <f>G13/E13</f>
        <v>0.20879682534679644</v>
      </c>
      <c r="J13" s="29"/>
      <c r="K13" s="83">
        <f>+E13-7045669.19</f>
        <v>-2128.1900000004098</v>
      </c>
      <c r="N13" s="5">
        <f>+N12-C22</f>
        <v>0.29999999888241291</v>
      </c>
    </row>
    <row r="14" spans="2:16" s="4" customFormat="1" ht="20.100000000000001" customHeight="1" x14ac:dyDescent="0.25">
      <c r="B14" s="25" t="s">
        <v>173</v>
      </c>
      <c r="C14" s="54">
        <v>9573061</v>
      </c>
      <c r="D14" s="52"/>
      <c r="E14" s="54">
        <v>8144820</v>
      </c>
      <c r="F14" s="53"/>
      <c r="G14" s="54">
        <f>+C14-E14</f>
        <v>1428241</v>
      </c>
      <c r="H14" s="28"/>
      <c r="I14" s="29">
        <f>G14/E14</f>
        <v>0.17535574757944314</v>
      </c>
      <c r="J14" s="29"/>
      <c r="K14" s="88">
        <v>8247434.1699999999</v>
      </c>
      <c r="L14" s="5">
        <v>9688148.0700000003</v>
      </c>
      <c r="N14" s="5"/>
      <c r="P14" s="76">
        <f>+E14+E19</f>
        <v>8245335.6600000001</v>
      </c>
    </row>
    <row r="15" spans="2:16" s="4" customFormat="1" ht="20.100000000000001" customHeight="1" x14ac:dyDescent="0.25">
      <c r="B15" s="25" t="s">
        <v>175</v>
      </c>
      <c r="C15" s="93">
        <f>+C13-C14</f>
        <v>-1058851</v>
      </c>
      <c r="D15" s="38"/>
      <c r="E15" s="93">
        <f>+E13-E14</f>
        <v>-1101279</v>
      </c>
      <c r="F15" s="38"/>
      <c r="G15" s="75">
        <f>+G13-G14</f>
        <v>42428</v>
      </c>
      <c r="H15" s="28"/>
      <c r="I15" s="41">
        <f>-+G15/E15</f>
        <v>3.8526113727765626E-2</v>
      </c>
      <c r="J15" s="41"/>
      <c r="K15" s="89">
        <f>+K14-E14</f>
        <v>102614.16999999993</v>
      </c>
      <c r="L15" s="5">
        <f>112989.86+2098.68</f>
        <v>115088.54</v>
      </c>
      <c r="M15" s="73"/>
    </row>
    <row r="16" spans="2:16" s="4" customFormat="1" ht="20.100000000000001" customHeight="1" x14ac:dyDescent="0.25">
      <c r="B16" s="25"/>
      <c r="C16" s="52"/>
      <c r="D16" s="52"/>
      <c r="E16" s="52"/>
      <c r="F16" s="53"/>
      <c r="G16" s="52"/>
      <c r="H16" s="28"/>
      <c r="I16" s="29"/>
      <c r="J16" s="29"/>
      <c r="K16" s="83">
        <f>100515.66+2098.68</f>
        <v>102614.34</v>
      </c>
      <c r="L16" s="5">
        <f>+L14-L15</f>
        <v>9573059.5300000012</v>
      </c>
    </row>
    <row r="17" spans="2:16" s="4" customFormat="1" ht="20.100000000000001" customHeight="1" x14ac:dyDescent="0.25">
      <c r="B17" s="25"/>
      <c r="C17" s="52"/>
      <c r="D17" s="52"/>
      <c r="E17" s="52"/>
      <c r="F17" s="53"/>
      <c r="G17" s="52"/>
      <c r="H17" s="28"/>
      <c r="I17" s="29"/>
      <c r="J17" s="29"/>
      <c r="K17" s="83">
        <f>+K14-K15</f>
        <v>8144820</v>
      </c>
      <c r="L17" s="18">
        <f>+L14-L15</f>
        <v>9573059.5300000012</v>
      </c>
    </row>
    <row r="18" spans="2:16" s="4" customFormat="1" ht="20.100000000000001" customHeight="1" x14ac:dyDescent="0.25">
      <c r="B18" s="25" t="s">
        <v>174</v>
      </c>
      <c r="C18" s="52">
        <v>2975592</v>
      </c>
      <c r="D18" s="66"/>
      <c r="E18" s="52">
        <f>+[1]Estados!$AG$76+29.75</f>
        <v>2785935.8200000003</v>
      </c>
      <c r="F18" s="66"/>
      <c r="G18" s="66">
        <f>+C18-E18</f>
        <v>189656.1799999997</v>
      </c>
      <c r="H18" s="28"/>
      <c r="I18" s="29">
        <f>G18/E18</f>
        <v>6.8076291865187225E-2</v>
      </c>
      <c r="J18" s="29"/>
      <c r="K18" s="83"/>
      <c r="N18" s="5">
        <v>2098.6799999999998</v>
      </c>
    </row>
    <row r="19" spans="2:16" s="4" customFormat="1" ht="20.100000000000001" customHeight="1" x14ac:dyDescent="0.25">
      <c r="B19" s="25" t="s">
        <v>176</v>
      </c>
      <c r="C19" s="52">
        <v>112990</v>
      </c>
      <c r="D19" s="66"/>
      <c r="E19" s="52">
        <v>100515.66</v>
      </c>
      <c r="F19" s="66"/>
      <c r="G19" s="66">
        <f>+C19-E19</f>
        <v>12474.339999999997</v>
      </c>
      <c r="H19" s="28"/>
      <c r="I19" s="29">
        <f>G19/E19</f>
        <v>0.12410344815922211</v>
      </c>
      <c r="J19" s="29"/>
      <c r="K19" s="83"/>
      <c r="M19" s="76">
        <f>+E19+E14</f>
        <v>8245335.6600000001</v>
      </c>
      <c r="N19" s="5">
        <v>2128.4299999999998</v>
      </c>
    </row>
    <row r="20" spans="2:16" s="4" customFormat="1" ht="20.100000000000001" customHeight="1" x14ac:dyDescent="0.25">
      <c r="B20" s="25" t="s">
        <v>177</v>
      </c>
      <c r="C20" s="61">
        <f>+C18-C19</f>
        <v>2862602</v>
      </c>
      <c r="D20" s="56"/>
      <c r="E20" s="61">
        <f>+E18-E19</f>
        <v>2685420.16</v>
      </c>
      <c r="F20" s="57"/>
      <c r="G20" s="61">
        <f>+G18-G19</f>
        <v>177181.83999999971</v>
      </c>
      <c r="H20" s="25"/>
      <c r="I20" s="41">
        <f>G20/E20</f>
        <v>6.5979187405817236E-2</v>
      </c>
      <c r="J20" s="41"/>
      <c r="K20" s="87"/>
      <c r="M20" s="76"/>
      <c r="N20" s="4">
        <f>+N18-N19</f>
        <v>-29.75</v>
      </c>
    </row>
    <row r="21" spans="2:16" ht="18.75" customHeight="1" x14ac:dyDescent="0.25">
      <c r="B21" s="24"/>
      <c r="C21" s="62"/>
      <c r="D21" s="62"/>
      <c r="E21" s="62"/>
      <c r="F21" s="62"/>
      <c r="G21" s="62"/>
      <c r="H21" s="24"/>
      <c r="I21" s="24"/>
      <c r="J21" s="24"/>
      <c r="K21" s="45"/>
    </row>
    <row r="22" spans="2:16" ht="15.75" thickBot="1" x14ac:dyDescent="0.3">
      <c r="B22" s="23" t="s">
        <v>155</v>
      </c>
      <c r="C22" s="63">
        <f>+C20+C15</f>
        <v>1803751</v>
      </c>
      <c r="D22" s="64"/>
      <c r="E22" s="63">
        <f>+E20+E15</f>
        <v>1584141.1600000001</v>
      </c>
      <c r="F22" s="64"/>
      <c r="G22" s="63">
        <f>+G20+G15</f>
        <v>219609.83999999971</v>
      </c>
      <c r="I22" s="41">
        <f>+G22/E22</f>
        <v>0.13863022156434573</v>
      </c>
      <c r="J22" s="41"/>
      <c r="K22" s="87">
        <v>1461688.19</v>
      </c>
      <c r="L22" s="12">
        <v>1651343.09</v>
      </c>
    </row>
    <row r="23" spans="2:16" ht="15.75" thickTop="1" x14ac:dyDescent="0.25">
      <c r="C23" s="2"/>
      <c r="K23" s="12">
        <v>1324217.8799999999</v>
      </c>
      <c r="L23" s="12">
        <v>1324217.8799999999</v>
      </c>
    </row>
    <row r="24" spans="2:16" x14ac:dyDescent="0.25">
      <c r="C24" s="69"/>
      <c r="E24" s="69"/>
      <c r="G24" s="69"/>
      <c r="K24" s="90">
        <f>+K23+K22</f>
        <v>2785906.07</v>
      </c>
      <c r="L24" s="91">
        <f>+L22+L23</f>
        <v>2975560.9699999997</v>
      </c>
      <c r="O24" s="12"/>
    </row>
    <row r="25" spans="2:16" x14ac:dyDescent="0.25">
      <c r="C25" s="69"/>
      <c r="K25" s="12">
        <f>+E18-K24</f>
        <v>29.750000000465661</v>
      </c>
      <c r="L25" s="12">
        <v>29.75</v>
      </c>
      <c r="O25" s="12"/>
    </row>
    <row r="26" spans="2:16" ht="41.25" customHeight="1" x14ac:dyDescent="0.25">
      <c r="B26" s="42"/>
      <c r="E26" s="240"/>
      <c r="F26" s="240"/>
      <c r="G26" s="240"/>
      <c r="K26" s="12">
        <f>SUM(K24:K25)</f>
        <v>2785935.8200000003</v>
      </c>
      <c r="L26" s="92">
        <f>+L25+L24</f>
        <v>2975590.7199999997</v>
      </c>
      <c r="O26" s="2">
        <f>1324217.88+1461688.19</f>
        <v>2785906.07</v>
      </c>
      <c r="P26" s="12">
        <v>1651343.09</v>
      </c>
    </row>
    <row r="27" spans="2:16" ht="24.75" customHeight="1" x14ac:dyDescent="0.25">
      <c r="B27" s="79" t="s">
        <v>156</v>
      </c>
      <c r="E27" s="239" t="s">
        <v>157</v>
      </c>
      <c r="F27" s="239"/>
      <c r="G27" s="239"/>
      <c r="P27">
        <v>1324217.8799999999</v>
      </c>
    </row>
    <row r="28" spans="2:16" x14ac:dyDescent="0.25">
      <c r="P28" s="12">
        <f>+P27+P26</f>
        <v>2975560.9699999997</v>
      </c>
    </row>
  </sheetData>
  <mergeCells count="6">
    <mergeCell ref="E27:G27"/>
    <mergeCell ref="B3:I3"/>
    <mergeCell ref="B4:I4"/>
    <mergeCell ref="B5:I5"/>
    <mergeCell ref="B6:I6"/>
    <mergeCell ref="E26:G26"/>
  </mergeCells>
  <pageMargins left="0.7" right="0.7" top="0.75" bottom="0.75" header="0.3" footer="0.3"/>
  <pageSetup scale="4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topLeftCell="C7" zoomScale="85" zoomScaleNormal="85" workbookViewId="0">
      <selection activeCell="B27" activeCellId="1" sqref="A26:G27 B27"/>
    </sheetView>
  </sheetViews>
  <sheetFormatPr baseColWidth="10" defaultRowHeight="15" x14ac:dyDescent="0.25"/>
  <cols>
    <col min="2" max="2" width="30.140625" customWidth="1"/>
    <col min="3" max="3" width="17.42578125" customWidth="1"/>
    <col min="4" max="4" width="5" customWidth="1"/>
    <col min="5" max="5" width="17.140625" customWidth="1"/>
    <col min="6" max="6" width="6" customWidth="1"/>
    <col min="7" max="7" width="14.5703125" customWidth="1"/>
    <col min="8" max="8" width="4.28515625" customWidth="1"/>
    <col min="9" max="9" width="11" customWidth="1"/>
    <col min="10" max="10" width="23.42578125" customWidth="1"/>
    <col min="11" max="11" width="19.5703125" style="12" hidden="1" customWidth="1"/>
    <col min="12" max="12" width="13.140625" hidden="1" customWidth="1"/>
    <col min="13" max="13" width="0" hidden="1" customWidth="1"/>
    <col min="14" max="14" width="17.28515625" hidden="1" customWidth="1"/>
    <col min="15" max="15" width="13.85546875" hidden="1" customWidth="1"/>
    <col min="16" max="16" width="13.140625" hidden="1" customWidth="1"/>
  </cols>
  <sheetData>
    <row r="1" spans="2:16" x14ac:dyDescent="0.25">
      <c r="E1" s="4"/>
      <c r="F1" s="4"/>
    </row>
    <row r="2" spans="2:16" x14ac:dyDescent="0.25">
      <c r="E2" s="4"/>
      <c r="F2" s="4"/>
    </row>
    <row r="3" spans="2:16" ht="62.25" customHeight="1" x14ac:dyDescent="0.25">
      <c r="B3" s="236" t="s">
        <v>169</v>
      </c>
      <c r="C3" s="236"/>
      <c r="D3" s="236"/>
      <c r="E3" s="236"/>
      <c r="F3" s="236"/>
      <c r="G3" s="236"/>
      <c r="H3" s="236"/>
      <c r="I3" s="236"/>
      <c r="J3" s="95"/>
      <c r="K3" s="84"/>
    </row>
    <row r="4" spans="2:16" x14ac:dyDescent="0.25">
      <c r="B4" s="237" t="s">
        <v>65</v>
      </c>
      <c r="C4" s="237"/>
      <c r="D4" s="237"/>
      <c r="E4" s="237"/>
      <c r="F4" s="237"/>
      <c r="G4" s="237"/>
      <c r="H4" s="237"/>
      <c r="I4" s="237"/>
      <c r="J4" s="96"/>
      <c r="K4" s="85"/>
    </row>
    <row r="5" spans="2:16" x14ac:dyDescent="0.25">
      <c r="B5" s="237" t="s">
        <v>182</v>
      </c>
      <c r="C5" s="237"/>
      <c r="D5" s="237"/>
      <c r="E5" s="237"/>
      <c r="F5" s="237"/>
      <c r="G5" s="237"/>
      <c r="H5" s="237"/>
      <c r="I5" s="237"/>
      <c r="J5" s="96"/>
      <c r="K5" s="85"/>
    </row>
    <row r="6" spans="2:16" x14ac:dyDescent="0.25">
      <c r="B6" s="237" t="s">
        <v>64</v>
      </c>
      <c r="C6" s="237"/>
      <c r="D6" s="237"/>
      <c r="E6" s="237"/>
      <c r="F6" s="237"/>
      <c r="G6" s="237"/>
      <c r="H6" s="237"/>
      <c r="I6" s="237"/>
      <c r="J6" s="96"/>
      <c r="K6" s="85"/>
    </row>
    <row r="9" spans="2:16" x14ac:dyDescent="0.25">
      <c r="B9" s="24"/>
      <c r="C9" s="7" t="s">
        <v>180</v>
      </c>
      <c r="D9" s="19"/>
      <c r="E9" s="7" t="s">
        <v>181</v>
      </c>
      <c r="F9" s="20"/>
      <c r="G9" s="8" t="s">
        <v>183</v>
      </c>
      <c r="H9" s="21"/>
      <c r="I9" s="8" t="s">
        <v>184</v>
      </c>
      <c r="J9" s="22"/>
      <c r="K9" s="86">
        <v>8514210</v>
      </c>
    </row>
    <row r="10" spans="2:16" x14ac:dyDescent="0.25">
      <c r="B10" s="24"/>
      <c r="C10" s="19"/>
      <c r="D10" s="19"/>
      <c r="E10" s="19"/>
      <c r="F10" s="20"/>
      <c r="G10" s="21"/>
      <c r="H10" s="21"/>
      <c r="I10" s="22"/>
      <c r="J10" s="22"/>
      <c r="K10" s="86"/>
      <c r="N10" s="12">
        <v>11491899.369999999</v>
      </c>
    </row>
    <row r="11" spans="2:16" x14ac:dyDescent="0.25">
      <c r="B11" s="23"/>
      <c r="C11" s="80"/>
      <c r="D11" s="19"/>
      <c r="E11" s="19"/>
      <c r="F11" s="20"/>
      <c r="G11" s="81"/>
      <c r="H11" s="21"/>
      <c r="I11" s="82"/>
      <c r="J11" s="82"/>
      <c r="K11" s="86"/>
      <c r="N11" s="12">
        <v>9688148.0700000003</v>
      </c>
    </row>
    <row r="12" spans="2:16" ht="13.5" customHeight="1" x14ac:dyDescent="0.25">
      <c r="B12" s="23"/>
      <c r="C12" s="94"/>
      <c r="D12" s="19"/>
      <c r="E12" s="80"/>
      <c r="F12" s="20"/>
      <c r="G12" s="21"/>
      <c r="H12" s="21"/>
      <c r="I12" s="22"/>
      <c r="J12" s="22"/>
      <c r="K12" s="86"/>
      <c r="N12" s="12">
        <f>+N10-N11</f>
        <v>1803751.2999999989</v>
      </c>
    </row>
    <row r="13" spans="2:16" s="4" customFormat="1" ht="20.100000000000001" customHeight="1" x14ac:dyDescent="0.25">
      <c r="B13" s="25" t="s">
        <v>172</v>
      </c>
      <c r="C13" s="52">
        <v>10463555.33</v>
      </c>
      <c r="D13" s="52"/>
      <c r="E13" s="52">
        <v>8514210</v>
      </c>
      <c r="F13" s="53"/>
      <c r="G13" s="52">
        <f>+C13-E13</f>
        <v>1949345.33</v>
      </c>
      <c r="H13" s="28"/>
      <c r="I13" s="29">
        <f>G13/E13</f>
        <v>0.22895199084824078</v>
      </c>
      <c r="J13" s="29"/>
      <c r="K13" s="83">
        <f>+E13-7045669.19</f>
        <v>1468540.8099999996</v>
      </c>
      <c r="N13" s="5">
        <f>+N12-C22</f>
        <v>-591481.50000000093</v>
      </c>
    </row>
    <row r="14" spans="2:16" s="4" customFormat="1" ht="20.100000000000001" customHeight="1" x14ac:dyDescent="0.25">
      <c r="B14" s="25" t="s">
        <v>173</v>
      </c>
      <c r="C14" s="54">
        <f>+K16</f>
        <v>11116019.34</v>
      </c>
      <c r="D14" s="52"/>
      <c r="E14" s="54">
        <v>9573061</v>
      </c>
      <c r="F14" s="53"/>
      <c r="G14" s="54">
        <f>+C14-E14</f>
        <v>1542958.3399999999</v>
      </c>
      <c r="H14" s="28"/>
      <c r="I14" s="29">
        <f>G14/E14</f>
        <v>0.16117711356900366</v>
      </c>
      <c r="J14" s="29"/>
      <c r="K14" s="88">
        <v>11243431.76</v>
      </c>
      <c r="L14" s="5">
        <v>9688148.0700000003</v>
      </c>
      <c r="N14" s="5"/>
      <c r="P14" s="76">
        <f>+E14+E19</f>
        <v>9686051</v>
      </c>
    </row>
    <row r="15" spans="2:16" s="4" customFormat="1" ht="20.100000000000001" customHeight="1" x14ac:dyDescent="0.25">
      <c r="B15" s="25" t="s">
        <v>175</v>
      </c>
      <c r="C15" s="93">
        <f>+C13-C14</f>
        <v>-652464.00999999978</v>
      </c>
      <c r="D15" s="38"/>
      <c r="E15" s="93">
        <f>+E13-E14</f>
        <v>-1058851</v>
      </c>
      <c r="F15" s="38"/>
      <c r="G15" s="75">
        <f>+G13-G14</f>
        <v>406386.99000000022</v>
      </c>
      <c r="H15" s="28"/>
      <c r="I15" s="41">
        <f>-+G15/E15</f>
        <v>0.38379997752280559</v>
      </c>
      <c r="J15" s="41"/>
      <c r="K15" s="89">
        <f>125313.74+O18</f>
        <v>127412.42</v>
      </c>
      <c r="L15" s="5">
        <f>112989.86+2098.68</f>
        <v>115088.54</v>
      </c>
      <c r="M15" s="73"/>
    </row>
    <row r="16" spans="2:16" s="4" customFormat="1" ht="20.100000000000001" customHeight="1" x14ac:dyDescent="0.25">
      <c r="B16" s="25"/>
      <c r="C16" s="52"/>
      <c r="D16" s="52"/>
      <c r="E16" s="52"/>
      <c r="F16" s="53"/>
      <c r="G16" s="52"/>
      <c r="H16" s="28"/>
      <c r="I16" s="29"/>
      <c r="J16" s="29"/>
      <c r="K16" s="5">
        <f>+K14-K15</f>
        <v>11116019.34</v>
      </c>
      <c r="L16" s="5">
        <f>+L14-L15</f>
        <v>9573059.5300000012</v>
      </c>
    </row>
    <row r="17" spans="2:16" s="4" customFormat="1" ht="20.100000000000001" customHeight="1" x14ac:dyDescent="0.25">
      <c r="B17" s="25"/>
      <c r="C17" s="52"/>
      <c r="D17" s="52"/>
      <c r="E17" s="52"/>
      <c r="F17" s="53"/>
      <c r="G17" s="52"/>
      <c r="H17" s="28"/>
      <c r="I17" s="29"/>
      <c r="J17" s="29"/>
      <c r="K17" s="83">
        <f>+K14-K15</f>
        <v>11116019.34</v>
      </c>
      <c r="L17" s="18">
        <f>+L14-L15</f>
        <v>9573059.5300000012</v>
      </c>
    </row>
    <row r="18" spans="2:16" s="4" customFormat="1" ht="20.100000000000001" customHeight="1" x14ac:dyDescent="0.25">
      <c r="B18" s="25" t="s">
        <v>174</v>
      </c>
      <c r="C18" s="52">
        <f>+K26</f>
        <v>3173010.55</v>
      </c>
      <c r="D18" s="66"/>
      <c r="E18" s="52">
        <v>2975592</v>
      </c>
      <c r="F18" s="66"/>
      <c r="G18" s="66">
        <f>+C18-E18</f>
        <v>197418.54999999981</v>
      </c>
      <c r="H18" s="28"/>
      <c r="I18" s="29">
        <f>G18/E18</f>
        <v>6.6345974179255696E-2</v>
      </c>
      <c r="J18" s="29"/>
      <c r="K18" s="83"/>
      <c r="N18" s="5">
        <v>2098.6799999999998</v>
      </c>
      <c r="O18" s="4">
        <v>2098.6799999999998</v>
      </c>
    </row>
    <row r="19" spans="2:16" s="4" customFormat="1" ht="20.100000000000001" customHeight="1" x14ac:dyDescent="0.25">
      <c r="B19" s="25" t="s">
        <v>176</v>
      </c>
      <c r="C19" s="52">
        <v>125313.74</v>
      </c>
      <c r="D19" s="66"/>
      <c r="E19" s="52">
        <v>112990</v>
      </c>
      <c r="F19" s="66"/>
      <c r="G19" s="66">
        <f>+C19-E19</f>
        <v>12323.740000000005</v>
      </c>
      <c r="H19" s="28"/>
      <c r="I19" s="29">
        <f>G19/E19</f>
        <v>0.10906929816797951</v>
      </c>
      <c r="J19" s="29"/>
      <c r="K19" s="83"/>
      <c r="M19" s="76">
        <f>+E19+E14</f>
        <v>9686051</v>
      </c>
      <c r="N19" s="5">
        <v>2128.4299999999998</v>
      </c>
      <c r="O19" s="4">
        <v>2219.29</v>
      </c>
    </row>
    <row r="20" spans="2:16" s="4" customFormat="1" ht="20.100000000000001" customHeight="1" x14ac:dyDescent="0.25">
      <c r="B20" s="25" t="s">
        <v>177</v>
      </c>
      <c r="C20" s="61">
        <f>+C18-C19</f>
        <v>3047696.8099999996</v>
      </c>
      <c r="D20" s="56"/>
      <c r="E20" s="61">
        <f>+E18-E19</f>
        <v>2862602</v>
      </c>
      <c r="F20" s="57"/>
      <c r="G20" s="61">
        <f>+G18-G19</f>
        <v>185094.80999999982</v>
      </c>
      <c r="H20" s="25"/>
      <c r="I20" s="41">
        <f>G20/E20</f>
        <v>6.465963832904463E-2</v>
      </c>
      <c r="J20" s="41"/>
      <c r="K20" s="87"/>
      <c r="M20" s="76"/>
      <c r="N20" s="4">
        <f>+N18-N19</f>
        <v>-29.75</v>
      </c>
      <c r="O20" s="4">
        <f>+O18-O19</f>
        <v>-120.61000000000013</v>
      </c>
    </row>
    <row r="21" spans="2:16" ht="18.75" customHeight="1" x14ac:dyDescent="0.25">
      <c r="B21" s="24"/>
      <c r="C21" s="62"/>
      <c r="D21" s="62"/>
      <c r="E21" s="62"/>
      <c r="F21" s="62"/>
      <c r="G21" s="62"/>
      <c r="H21" s="24"/>
      <c r="I21" s="24"/>
      <c r="J21" s="24"/>
      <c r="K21" s="45"/>
    </row>
    <row r="22" spans="2:16" ht="15.75" thickBot="1" x14ac:dyDescent="0.3">
      <c r="B22" s="23" t="s">
        <v>155</v>
      </c>
      <c r="C22" s="63">
        <f>+C20+C15</f>
        <v>2395232.7999999998</v>
      </c>
      <c r="D22" s="64"/>
      <c r="E22" s="63">
        <f>+E20+E15</f>
        <v>1803751</v>
      </c>
      <c r="F22" s="64"/>
      <c r="G22" s="63">
        <f>+G20+G15</f>
        <v>591481.80000000005</v>
      </c>
      <c r="I22" s="41">
        <f>+G22/E22</f>
        <v>0.32791765604010753</v>
      </c>
      <c r="J22" s="41"/>
      <c r="K22" s="87">
        <v>1848041.92</v>
      </c>
      <c r="L22" s="12">
        <v>1651343.09</v>
      </c>
    </row>
    <row r="23" spans="2:16" ht="15.75" thickTop="1" x14ac:dyDescent="0.25">
      <c r="C23" s="2"/>
      <c r="K23" s="12">
        <v>1324848.6299999999</v>
      </c>
      <c r="L23" s="12">
        <v>1324217.8799999999</v>
      </c>
    </row>
    <row r="24" spans="2:16" x14ac:dyDescent="0.25">
      <c r="C24" s="69"/>
      <c r="E24" s="69"/>
      <c r="G24" s="69"/>
      <c r="K24" s="90">
        <f>+K23+K22</f>
        <v>3172890.55</v>
      </c>
      <c r="L24" s="91">
        <f>+L22+L23</f>
        <v>2975560.9699999997</v>
      </c>
      <c r="O24" s="12"/>
    </row>
    <row r="25" spans="2:16" x14ac:dyDescent="0.25">
      <c r="C25" s="69"/>
      <c r="K25" s="12">
        <v>120</v>
      </c>
      <c r="L25" s="12">
        <v>29.75</v>
      </c>
      <c r="O25" s="12"/>
    </row>
    <row r="26" spans="2:16" ht="41.25" customHeight="1" x14ac:dyDescent="0.25">
      <c r="B26" s="42"/>
      <c r="E26" s="240"/>
      <c r="F26" s="240"/>
      <c r="G26" s="240"/>
      <c r="K26" s="12">
        <f>SUM(K24:K25)</f>
        <v>3173010.55</v>
      </c>
      <c r="L26" s="92">
        <f>+L25+L24</f>
        <v>2975590.7199999997</v>
      </c>
      <c r="O26" s="2">
        <f>1324217.88+1461688.19</f>
        <v>2785906.07</v>
      </c>
      <c r="P26" s="12">
        <v>1651343.09</v>
      </c>
    </row>
    <row r="27" spans="2:16" ht="24.75" customHeight="1" x14ac:dyDescent="0.25">
      <c r="B27" s="97" t="s">
        <v>156</v>
      </c>
      <c r="E27" s="239" t="s">
        <v>157</v>
      </c>
      <c r="F27" s="239"/>
      <c r="G27" s="239"/>
      <c r="P27">
        <v>1324217.8799999999</v>
      </c>
    </row>
    <row r="28" spans="2:16" x14ac:dyDescent="0.25">
      <c r="P28" s="12">
        <f>+P27+P26</f>
        <v>2975560.9699999997</v>
      </c>
    </row>
  </sheetData>
  <mergeCells count="6">
    <mergeCell ref="E27:G27"/>
    <mergeCell ref="B3:I3"/>
    <mergeCell ref="B4:I4"/>
    <mergeCell ref="B5:I5"/>
    <mergeCell ref="B6:I6"/>
    <mergeCell ref="E26:G26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ESTADO RESULTADOS </vt:lpstr>
      <vt:lpstr>Estado de resultados mayo</vt:lpstr>
      <vt:lpstr>ESTADO RESULTADOS  (2)</vt:lpstr>
      <vt:lpstr>Junio 2016</vt:lpstr>
      <vt:lpstr>Julio 2016</vt:lpstr>
      <vt:lpstr>Agosto </vt:lpstr>
      <vt:lpstr>Agosto 2016</vt:lpstr>
      <vt:lpstr>Septiembre </vt:lpstr>
      <vt:lpstr>Octubre 2016</vt:lpstr>
      <vt:lpstr>Noviembre 2016</vt:lpstr>
      <vt:lpstr>Balance General</vt:lpstr>
      <vt:lpstr>RESULTADOS 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Perez Disla</dc:creator>
  <cp:lastModifiedBy>Noelia Perez Disla</cp:lastModifiedBy>
  <cp:lastPrinted>2017-10-13T12:11:53Z</cp:lastPrinted>
  <dcterms:created xsi:type="dcterms:W3CDTF">2016-09-06T22:39:40Z</dcterms:created>
  <dcterms:modified xsi:type="dcterms:W3CDTF">2017-10-31T13:21:37Z</dcterms:modified>
</cp:coreProperties>
</file>